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<sst xmlns="http://schemas.openxmlformats.org/spreadsheetml/2006/main" count="412" uniqueCount="263">
  <si>
    <t>Исходные данные</t>
  </si>
  <si>
    <t>Обозна-
чения</t>
  </si>
  <si>
    <t>Значения</t>
  </si>
  <si>
    <t>Ед.
изм.</t>
  </si>
  <si>
    <t>мм</t>
  </si>
  <si>
    <t>-</t>
  </si>
  <si>
    <t>t=</t>
  </si>
  <si>
    <t>K=</t>
  </si>
  <si>
    <t>h=</t>
  </si>
  <si>
    <t>Модуль упругости</t>
  </si>
  <si>
    <t>E=</t>
  </si>
  <si>
    <t>МПа</t>
  </si>
  <si>
    <t>Коэффициент Пуассона</t>
  </si>
  <si>
    <t>μ=</t>
  </si>
  <si>
    <t>Предел текучести</t>
  </si>
  <si>
    <t>ε=</t>
  </si>
  <si>
    <t>Высота стенки</t>
  </si>
  <si>
    <t>Ширина полки</t>
  </si>
  <si>
    <t>Ширина отгиба</t>
  </si>
  <si>
    <t>b=</t>
  </si>
  <si>
    <t>c=</t>
  </si>
  <si>
    <t>Внутренний радиус сгибов</t>
  </si>
  <si>
    <t>Высота стенки по средней линии</t>
  </si>
  <si>
    <t>Ширина полки по средней линии</t>
  </si>
  <si>
    <t>Ширина отгиба по средней линии</t>
  </si>
  <si>
    <r>
      <t>γ</t>
    </r>
    <r>
      <rPr>
        <b/>
        <vertAlign val="subscript"/>
        <sz val="11"/>
        <color indexed="12"/>
        <rFont val="Arial"/>
        <family val="2"/>
      </rPr>
      <t>mo</t>
    </r>
    <r>
      <rPr>
        <b/>
        <sz val="11"/>
        <color indexed="12"/>
        <rFont val="Arial"/>
        <family val="2"/>
      </rPr>
      <t>=</t>
    </r>
  </si>
  <si>
    <t>δ=</t>
  </si>
  <si>
    <r>
      <t>мм</t>
    </r>
    <r>
      <rPr>
        <b/>
        <vertAlign val="superscript"/>
        <sz val="11"/>
        <rFont val="Arial"/>
        <family val="2"/>
      </rPr>
      <t>2</t>
    </r>
  </si>
  <si>
    <r>
      <t>мм</t>
    </r>
    <r>
      <rPr>
        <b/>
        <vertAlign val="superscript"/>
        <sz val="11"/>
        <rFont val="Arial"/>
        <family val="2"/>
      </rPr>
      <t>4</t>
    </r>
  </si>
  <si>
    <t>Проверка сечения на соответствие EN 1993-1-3</t>
  </si>
  <si>
    <r>
      <t>ψ</t>
    </r>
    <r>
      <rPr>
        <b/>
        <vertAlign val="subscript"/>
        <sz val="11"/>
        <rFont val="Arial"/>
        <family val="2"/>
      </rPr>
      <t>h</t>
    </r>
    <r>
      <rPr>
        <b/>
        <sz val="11"/>
        <rFont val="Arial"/>
        <family val="2"/>
      </rPr>
      <t>=</t>
    </r>
  </si>
  <si>
    <r>
      <t>ψ</t>
    </r>
    <r>
      <rPr>
        <b/>
        <vertAlign val="subscript"/>
        <sz val="11"/>
        <rFont val="Arial"/>
        <family val="2"/>
      </rPr>
      <t>b</t>
    </r>
    <r>
      <rPr>
        <b/>
        <sz val="11"/>
        <rFont val="Arial"/>
        <family val="2"/>
      </rPr>
      <t>=</t>
    </r>
  </si>
  <si>
    <r>
      <t>k</t>
    </r>
    <r>
      <rPr>
        <b/>
        <vertAlign val="subscript"/>
        <sz val="11"/>
        <rFont val="Arial"/>
        <family val="2"/>
      </rPr>
      <t>σh</t>
    </r>
    <r>
      <rPr>
        <b/>
        <sz val="11"/>
        <rFont val="Arial"/>
        <family val="2"/>
      </rPr>
      <t>=</t>
    </r>
  </si>
  <si>
    <r>
      <t>k</t>
    </r>
    <r>
      <rPr>
        <b/>
        <vertAlign val="subscript"/>
        <sz val="11"/>
        <rFont val="Arial"/>
        <family val="2"/>
      </rPr>
      <t>σb</t>
    </r>
    <r>
      <rPr>
        <b/>
        <sz val="11"/>
        <rFont val="Arial"/>
        <family val="2"/>
      </rPr>
      <t>=</t>
    </r>
  </si>
  <si>
    <r>
      <t>k</t>
    </r>
    <r>
      <rPr>
        <b/>
        <vertAlign val="subscript"/>
        <sz val="11"/>
        <rFont val="Arial"/>
        <family val="2"/>
      </rPr>
      <t>σc</t>
    </r>
    <r>
      <rPr>
        <b/>
        <sz val="11"/>
        <rFont val="Arial"/>
        <family val="2"/>
      </rPr>
      <t>=</t>
    </r>
  </si>
  <si>
    <r>
      <t>λ</t>
    </r>
    <r>
      <rPr>
        <b/>
        <vertAlign val="subscript"/>
        <sz val="11"/>
        <rFont val="Arial"/>
        <family val="2"/>
      </rPr>
      <t>ph</t>
    </r>
    <r>
      <rPr>
        <b/>
        <sz val="11"/>
        <rFont val="Arial"/>
        <family val="2"/>
      </rPr>
      <t>=</t>
    </r>
  </si>
  <si>
    <r>
      <t>λ</t>
    </r>
    <r>
      <rPr>
        <b/>
        <vertAlign val="subscript"/>
        <sz val="11"/>
        <rFont val="Arial"/>
        <family val="2"/>
      </rPr>
      <t>pb</t>
    </r>
    <r>
      <rPr>
        <b/>
        <sz val="11"/>
        <rFont val="Arial"/>
        <family val="2"/>
      </rPr>
      <t>=</t>
    </r>
  </si>
  <si>
    <r>
      <t>λ</t>
    </r>
    <r>
      <rPr>
        <b/>
        <vertAlign val="subscript"/>
        <sz val="11"/>
        <rFont val="Arial"/>
        <family val="2"/>
      </rPr>
      <t>pc</t>
    </r>
    <r>
      <rPr>
        <b/>
        <sz val="11"/>
        <rFont val="Arial"/>
        <family val="2"/>
      </rPr>
      <t>=</t>
    </r>
  </si>
  <si>
    <r>
      <t>ρ</t>
    </r>
    <r>
      <rPr>
        <b/>
        <vertAlign val="subscript"/>
        <sz val="11"/>
        <rFont val="Arial"/>
        <family val="2"/>
      </rPr>
      <t>h</t>
    </r>
    <r>
      <rPr>
        <b/>
        <sz val="11"/>
        <rFont val="Arial"/>
        <family val="2"/>
      </rPr>
      <t>=</t>
    </r>
  </si>
  <si>
    <r>
      <t>ρ</t>
    </r>
    <r>
      <rPr>
        <b/>
        <vertAlign val="subscript"/>
        <sz val="11"/>
        <rFont val="Arial"/>
        <family val="2"/>
      </rPr>
      <t>b</t>
    </r>
    <r>
      <rPr>
        <b/>
        <sz val="11"/>
        <rFont val="Arial"/>
        <family val="2"/>
      </rPr>
      <t>=</t>
    </r>
  </si>
  <si>
    <r>
      <t>ρ</t>
    </r>
    <r>
      <rPr>
        <b/>
        <vertAlign val="subscript"/>
        <sz val="11"/>
        <rFont val="Arial"/>
        <family val="2"/>
      </rPr>
      <t>c</t>
    </r>
    <r>
      <rPr>
        <b/>
        <sz val="11"/>
        <rFont val="Arial"/>
        <family val="2"/>
      </rPr>
      <t>=</t>
    </r>
  </si>
  <si>
    <r>
      <t>h</t>
    </r>
    <r>
      <rPr>
        <b/>
        <vertAlign val="subscript"/>
        <sz val="11"/>
        <rFont val="Arial"/>
        <family val="2"/>
      </rPr>
      <t>ef</t>
    </r>
    <r>
      <rPr>
        <b/>
        <sz val="11"/>
        <rFont val="Arial"/>
        <family val="2"/>
      </rPr>
      <t>=</t>
    </r>
  </si>
  <si>
    <r>
      <t>c</t>
    </r>
    <r>
      <rPr>
        <b/>
        <vertAlign val="subscript"/>
        <sz val="11"/>
        <rFont val="Arial"/>
        <family val="2"/>
      </rPr>
      <t>ef</t>
    </r>
    <r>
      <rPr>
        <b/>
        <sz val="11"/>
        <rFont val="Arial"/>
        <family val="2"/>
      </rPr>
      <t>=</t>
    </r>
  </si>
  <si>
    <t>Эффективная высота стенки</t>
  </si>
  <si>
    <t>Эффективная ширина отгиба</t>
  </si>
  <si>
    <r>
      <t>λ</t>
    </r>
    <r>
      <rPr>
        <b/>
        <vertAlign val="subscript"/>
        <sz val="11"/>
        <rFont val="Arial"/>
        <family val="2"/>
      </rPr>
      <t>d</t>
    </r>
    <r>
      <rPr>
        <b/>
        <sz val="11"/>
        <rFont val="Arial"/>
        <family val="2"/>
      </rPr>
      <t>=</t>
    </r>
  </si>
  <si>
    <r>
      <t>t</t>
    </r>
    <r>
      <rPr>
        <b/>
        <vertAlign val="subscript"/>
        <sz val="11"/>
        <rFont val="Arial"/>
        <family val="2"/>
      </rPr>
      <t>s.red</t>
    </r>
    <r>
      <rPr>
        <b/>
        <sz val="11"/>
        <rFont val="Arial"/>
        <family val="2"/>
      </rPr>
      <t>=</t>
    </r>
  </si>
  <si>
    <r>
      <t>мм</t>
    </r>
    <r>
      <rPr>
        <b/>
        <vertAlign val="superscript"/>
        <sz val="11"/>
        <color indexed="10"/>
        <rFont val="Arial"/>
        <family val="2"/>
      </rPr>
      <t>2</t>
    </r>
  </si>
  <si>
    <t>Н</t>
  </si>
  <si>
    <r>
      <t>A</t>
    </r>
    <r>
      <rPr>
        <b/>
        <vertAlign val="subscript"/>
        <sz val="11"/>
        <color indexed="10"/>
        <rFont val="Arial"/>
        <family val="2"/>
      </rPr>
      <t>g</t>
    </r>
    <r>
      <rPr>
        <b/>
        <sz val="11"/>
        <color indexed="10"/>
        <rFont val="Arial"/>
        <family val="2"/>
      </rPr>
      <t>=</t>
    </r>
  </si>
  <si>
    <r>
      <t>b</t>
    </r>
    <r>
      <rPr>
        <b/>
        <vertAlign val="subscript"/>
        <sz val="11"/>
        <rFont val="Arial"/>
        <family val="2"/>
      </rPr>
      <t>ef1</t>
    </r>
    <r>
      <rPr>
        <b/>
        <sz val="11"/>
        <rFont val="Arial"/>
        <family val="2"/>
      </rPr>
      <t>=b</t>
    </r>
    <r>
      <rPr>
        <b/>
        <vertAlign val="subscript"/>
        <sz val="11"/>
        <rFont val="Arial"/>
        <family val="2"/>
      </rPr>
      <t>ef2</t>
    </r>
    <r>
      <rPr>
        <b/>
        <sz val="11"/>
        <rFont val="Arial"/>
        <family val="2"/>
      </rPr>
      <t>=</t>
    </r>
  </si>
  <si>
    <t>Результаты расчета</t>
  </si>
  <si>
    <t>Площадь полного сечения</t>
  </si>
  <si>
    <t>Момент инерции полного сечения</t>
  </si>
  <si>
    <t>Момент сопротивления полного сечения</t>
  </si>
  <si>
    <r>
      <t>мм</t>
    </r>
    <r>
      <rPr>
        <b/>
        <vertAlign val="superscript"/>
        <sz val="11"/>
        <color indexed="10"/>
        <rFont val="Arial"/>
        <family val="2"/>
      </rPr>
      <t>4</t>
    </r>
  </si>
  <si>
    <r>
      <t>мм</t>
    </r>
    <r>
      <rPr>
        <b/>
        <vertAlign val="superscript"/>
        <sz val="11"/>
        <color indexed="10"/>
        <rFont val="Arial"/>
        <family val="2"/>
      </rPr>
      <t>3</t>
    </r>
  </si>
  <si>
    <t>Условная гибкость стенки</t>
  </si>
  <si>
    <t>Коэффициент безопасности по материалу</t>
  </si>
  <si>
    <t>Отношение меньшего напряжения в стенке к большему</t>
  </si>
  <si>
    <t>Отношение меньшего напряжения в полке к большему</t>
  </si>
  <si>
    <t>Условная гибкость полки</t>
  </si>
  <si>
    <t>Условная гибкость отгиба</t>
  </si>
  <si>
    <t>Коэффициент потери устойчивости стенки</t>
  </si>
  <si>
    <t>Коэффициент потери устойчивости полки</t>
  </si>
  <si>
    <t>Коэффициент потери устойчивости отгиба</t>
  </si>
  <si>
    <t>Редукционный коэффициент для стенки</t>
  </si>
  <si>
    <t>Редукционный коэффициент для полки</t>
  </si>
  <si>
    <t>Редукционный коэффициент для отгиба</t>
  </si>
  <si>
    <t>i=1</t>
  </si>
  <si>
    <t>i=2</t>
  </si>
  <si>
    <t>i=3</t>
  </si>
  <si>
    <t>i=4</t>
  </si>
  <si>
    <r>
      <t>λ</t>
    </r>
    <r>
      <rPr>
        <b/>
        <vertAlign val="subscript"/>
        <sz val="11"/>
        <rFont val="Arial"/>
        <family val="2"/>
      </rPr>
      <t>pb i</t>
    </r>
    <r>
      <rPr>
        <b/>
        <sz val="11"/>
        <rFont val="Arial"/>
        <family val="2"/>
      </rPr>
      <t>=</t>
    </r>
  </si>
  <si>
    <r>
      <t>λ</t>
    </r>
    <r>
      <rPr>
        <b/>
        <vertAlign val="subscript"/>
        <sz val="11"/>
        <rFont val="Arial"/>
        <family val="2"/>
      </rPr>
      <t>pc i</t>
    </r>
    <r>
      <rPr>
        <b/>
        <sz val="11"/>
        <rFont val="Arial"/>
        <family val="2"/>
      </rPr>
      <t>=</t>
    </r>
  </si>
  <si>
    <r>
      <t>b</t>
    </r>
    <r>
      <rPr>
        <b/>
        <vertAlign val="subscript"/>
        <sz val="11"/>
        <rFont val="Arial"/>
        <family val="2"/>
      </rPr>
      <t>ef2 i</t>
    </r>
    <r>
      <rPr>
        <b/>
        <sz val="11"/>
        <rFont val="Arial"/>
        <family val="2"/>
      </rPr>
      <t>=</t>
    </r>
  </si>
  <si>
    <r>
      <t>ρ</t>
    </r>
    <r>
      <rPr>
        <b/>
        <vertAlign val="subscript"/>
        <sz val="11"/>
        <rFont val="Arial"/>
        <family val="2"/>
      </rPr>
      <t>b i</t>
    </r>
    <r>
      <rPr>
        <b/>
        <sz val="11"/>
        <rFont val="Arial"/>
        <family val="2"/>
      </rPr>
      <t>=</t>
    </r>
  </si>
  <si>
    <r>
      <t>ρ</t>
    </r>
    <r>
      <rPr>
        <b/>
        <vertAlign val="subscript"/>
        <sz val="11"/>
        <rFont val="Arial"/>
        <family val="2"/>
      </rPr>
      <t>c i</t>
    </r>
    <r>
      <rPr>
        <b/>
        <sz val="11"/>
        <rFont val="Arial"/>
        <family val="2"/>
      </rPr>
      <t>=</t>
    </r>
  </si>
  <si>
    <r>
      <t>c</t>
    </r>
    <r>
      <rPr>
        <b/>
        <vertAlign val="subscript"/>
        <sz val="11"/>
        <rFont val="Arial"/>
        <family val="2"/>
      </rPr>
      <t>ef i</t>
    </r>
    <r>
      <rPr>
        <b/>
        <sz val="11"/>
        <rFont val="Arial"/>
        <family val="2"/>
      </rPr>
      <t>=</t>
    </r>
  </si>
  <si>
    <r>
      <t>K</t>
    </r>
    <r>
      <rPr>
        <b/>
        <vertAlign val="subscript"/>
        <sz val="11"/>
        <rFont val="Arial Cyr"/>
        <family val="0"/>
      </rPr>
      <t>i</t>
    </r>
    <r>
      <rPr>
        <b/>
        <sz val="11"/>
        <rFont val="Arial Cyr"/>
        <family val="0"/>
      </rPr>
      <t>=</t>
    </r>
  </si>
  <si>
    <r>
      <t>λ</t>
    </r>
    <r>
      <rPr>
        <b/>
        <vertAlign val="subscript"/>
        <sz val="11"/>
        <rFont val="Arial"/>
        <family val="2"/>
      </rPr>
      <t>d i</t>
    </r>
    <r>
      <rPr>
        <b/>
        <sz val="11"/>
        <rFont val="Arial"/>
        <family val="2"/>
      </rPr>
      <t>=</t>
    </r>
  </si>
  <si>
    <r>
      <t>A</t>
    </r>
    <r>
      <rPr>
        <b/>
        <vertAlign val="subscript"/>
        <sz val="11"/>
        <rFont val="Arial"/>
        <family val="2"/>
      </rPr>
      <t>eff</t>
    </r>
    <r>
      <rPr>
        <b/>
        <vertAlign val="superscript"/>
        <sz val="11"/>
        <rFont val="Arial"/>
        <family val="2"/>
      </rPr>
      <t>о</t>
    </r>
    <r>
      <rPr>
        <b/>
        <sz val="11"/>
        <rFont val="Arial"/>
        <family val="2"/>
      </rPr>
      <t>=</t>
    </r>
  </si>
  <si>
    <r>
      <t>A</t>
    </r>
    <r>
      <rPr>
        <b/>
        <vertAlign val="subscript"/>
        <sz val="11"/>
        <color indexed="10"/>
        <rFont val="Arial"/>
        <family val="2"/>
      </rPr>
      <t>eff</t>
    </r>
    <r>
      <rPr>
        <b/>
        <sz val="11"/>
        <color indexed="10"/>
        <rFont val="Arial"/>
        <family val="2"/>
      </rPr>
      <t>=</t>
    </r>
  </si>
  <si>
    <r>
      <t>σ</t>
    </r>
    <r>
      <rPr>
        <b/>
        <vertAlign val="subscript"/>
        <sz val="11"/>
        <rFont val="Arial"/>
        <family val="2"/>
      </rPr>
      <t>cr.s</t>
    </r>
    <r>
      <rPr>
        <b/>
        <sz val="11"/>
        <rFont val="Arial"/>
        <family val="2"/>
      </rPr>
      <t>=</t>
    </r>
  </si>
  <si>
    <r>
      <t>σ</t>
    </r>
    <r>
      <rPr>
        <b/>
        <vertAlign val="subscript"/>
        <sz val="11"/>
        <rFont val="Arial"/>
        <family val="2"/>
      </rPr>
      <t>cr.s i</t>
    </r>
    <r>
      <rPr>
        <b/>
        <sz val="11"/>
        <rFont val="Arial"/>
        <family val="2"/>
      </rPr>
      <t>=</t>
    </r>
  </si>
  <si>
    <t>&lt;=50</t>
  </si>
  <si>
    <t>&lt;=0,6</t>
  </si>
  <si>
    <t>0,2&lt;=</t>
  </si>
  <si>
    <t>&lt;=60</t>
  </si>
  <si>
    <t>&lt;=500</t>
  </si>
  <si>
    <t>c/t</t>
  </si>
  <si>
    <t>c/b</t>
  </si>
  <si>
    <t>b/t</t>
  </si>
  <si>
    <t>h/t</t>
  </si>
  <si>
    <r>
      <t>h</t>
    </r>
    <r>
      <rPr>
        <b/>
        <vertAlign val="subscript"/>
        <sz val="11"/>
        <rFont val="Arial"/>
        <family val="2"/>
      </rPr>
      <t>eff</t>
    </r>
    <r>
      <rPr>
        <b/>
        <sz val="11"/>
        <rFont val="Arial"/>
        <family val="2"/>
      </rPr>
      <t>=</t>
    </r>
  </si>
  <si>
    <r>
      <t>h</t>
    </r>
    <r>
      <rPr>
        <b/>
        <vertAlign val="subscript"/>
        <sz val="11"/>
        <rFont val="Arial"/>
        <family val="2"/>
      </rPr>
      <t>ef1</t>
    </r>
    <r>
      <rPr>
        <b/>
        <sz val="11"/>
        <rFont val="Arial"/>
        <family val="2"/>
      </rPr>
      <t>=</t>
    </r>
  </si>
  <si>
    <r>
      <t>h</t>
    </r>
    <r>
      <rPr>
        <b/>
        <vertAlign val="subscript"/>
        <sz val="11"/>
        <rFont val="Arial"/>
        <family val="2"/>
      </rPr>
      <t>ef2</t>
    </r>
    <r>
      <rPr>
        <b/>
        <sz val="11"/>
        <rFont val="Arial"/>
        <family val="2"/>
      </rPr>
      <t>=</t>
    </r>
  </si>
  <si>
    <r>
      <t>k</t>
    </r>
    <r>
      <rPr>
        <b/>
        <vertAlign val="subscript"/>
        <sz val="11"/>
        <rFont val="Arial"/>
        <family val="2"/>
      </rPr>
      <t>f</t>
    </r>
    <r>
      <rPr>
        <b/>
        <sz val="11"/>
        <rFont val="Arial"/>
        <family val="2"/>
      </rPr>
      <t>=</t>
    </r>
  </si>
  <si>
    <t>Коэффициент для сжатого симметричного сечения</t>
  </si>
  <si>
    <r>
      <t xml:space="preserve">Эффективная высота </t>
    </r>
    <r>
      <rPr>
        <b/>
        <sz val="8"/>
        <color indexed="10"/>
        <rFont val="Arial"/>
        <family val="2"/>
      </rPr>
      <t>сжатой</t>
    </r>
    <r>
      <rPr>
        <b/>
        <sz val="8"/>
        <rFont val="Arial"/>
        <family val="2"/>
      </rPr>
      <t xml:space="preserve"> части стенки</t>
    </r>
  </si>
  <si>
    <r>
      <t xml:space="preserve">Эффективная высота </t>
    </r>
    <r>
      <rPr>
        <b/>
        <sz val="8"/>
        <color indexed="10"/>
        <rFont val="Arial"/>
        <family val="2"/>
      </rPr>
      <t>растянутой</t>
    </r>
    <r>
      <rPr>
        <b/>
        <sz val="8"/>
        <rFont val="Arial"/>
        <family val="2"/>
      </rPr>
      <t xml:space="preserve"> части стенки</t>
    </r>
  </si>
  <si>
    <t>Максимальный допустимый изгибающий момент</t>
  </si>
  <si>
    <t>Н*м</t>
  </si>
  <si>
    <t>Итерации сжатие</t>
  </si>
  <si>
    <t>Итерации изгиб</t>
  </si>
  <si>
    <r>
      <t xml:space="preserve">K </t>
    </r>
    <r>
      <rPr>
        <b/>
        <vertAlign val="subscript"/>
        <sz val="11"/>
        <rFont val="Arial Cyr"/>
        <family val="0"/>
      </rPr>
      <t>i</t>
    </r>
    <r>
      <rPr>
        <b/>
        <sz val="11"/>
        <rFont val="Arial Cyr"/>
        <family val="0"/>
      </rPr>
      <t>=</t>
    </r>
  </si>
  <si>
    <r>
      <t>I</t>
    </r>
    <r>
      <rPr>
        <b/>
        <vertAlign val="subscript"/>
        <sz val="11"/>
        <color indexed="10"/>
        <rFont val="Arial"/>
        <family val="2"/>
      </rPr>
      <t>eff.y</t>
    </r>
    <r>
      <rPr>
        <b/>
        <sz val="11"/>
        <color indexed="10"/>
        <rFont val="Arial"/>
        <family val="2"/>
      </rPr>
      <t>=</t>
    </r>
  </si>
  <si>
    <t>Максимальная допустимая осевая нагрузка</t>
  </si>
  <si>
    <r>
      <t>W</t>
    </r>
    <r>
      <rPr>
        <b/>
        <vertAlign val="subscript"/>
        <sz val="11"/>
        <color indexed="10"/>
        <rFont val="Arial"/>
        <family val="2"/>
      </rPr>
      <t>eff.y</t>
    </r>
    <r>
      <rPr>
        <b/>
        <sz val="11"/>
        <color indexed="10"/>
        <rFont val="Arial"/>
        <family val="2"/>
      </rPr>
      <t>=</t>
    </r>
  </si>
  <si>
    <t>Еврокод 3</t>
  </si>
  <si>
    <t xml:space="preserve">Андромета </t>
  </si>
  <si>
    <t>&lt;=300</t>
  </si>
  <si>
    <t>&lt;=100</t>
  </si>
  <si>
    <t>&lt;=0,5</t>
  </si>
  <si>
    <t>&lt;=40</t>
  </si>
  <si>
    <t>Еврокод 3
Андромета</t>
  </si>
  <si>
    <t>Расчетное
значение</t>
  </si>
  <si>
    <r>
      <t>N</t>
    </r>
    <r>
      <rPr>
        <b/>
        <vertAlign val="subscript"/>
        <sz val="11"/>
        <color indexed="14"/>
        <rFont val="Arial"/>
        <family val="2"/>
      </rPr>
      <t>c.RD</t>
    </r>
    <r>
      <rPr>
        <b/>
        <sz val="11"/>
        <color indexed="14"/>
        <rFont val="Arial"/>
        <family val="2"/>
      </rPr>
      <t>=</t>
    </r>
  </si>
  <si>
    <r>
      <t>M</t>
    </r>
    <r>
      <rPr>
        <b/>
        <vertAlign val="subscript"/>
        <sz val="11"/>
        <color indexed="14"/>
        <rFont val="Arial"/>
        <family val="2"/>
      </rPr>
      <t>c.RD</t>
    </r>
    <r>
      <rPr>
        <b/>
        <sz val="11"/>
        <color indexed="14"/>
        <rFont val="Arial"/>
        <family val="2"/>
      </rPr>
      <t>=</t>
    </r>
  </si>
  <si>
    <r>
      <t>A</t>
    </r>
    <r>
      <rPr>
        <b/>
        <vertAlign val="subscript"/>
        <sz val="11"/>
        <color indexed="10"/>
        <rFont val="Arial"/>
        <family val="2"/>
      </rPr>
      <t>eff</t>
    </r>
    <r>
      <rPr>
        <b/>
        <sz val="11"/>
        <color indexed="10"/>
        <rFont val="Arial"/>
        <family val="2"/>
      </rPr>
      <t>/A</t>
    </r>
    <r>
      <rPr>
        <b/>
        <vertAlign val="subscript"/>
        <sz val="11"/>
        <color indexed="10"/>
        <rFont val="Arial"/>
        <family val="2"/>
      </rPr>
      <t>g</t>
    </r>
    <r>
      <rPr>
        <b/>
        <sz val="11"/>
        <color indexed="10"/>
        <rFont val="Arial"/>
        <family val="2"/>
      </rPr>
      <t>=</t>
    </r>
  </si>
  <si>
    <t>Коэффициент уменьшения момента сопротивления</t>
  </si>
  <si>
    <t>Коэффициент уменьшения площади сечения</t>
  </si>
  <si>
    <r>
      <t xml:space="preserve">Эффективная высота </t>
    </r>
    <r>
      <rPr>
        <b/>
        <sz val="8"/>
        <color indexed="10"/>
        <rFont val="Arial"/>
        <family val="2"/>
      </rPr>
      <t>половины</t>
    </r>
    <r>
      <rPr>
        <b/>
        <sz val="8"/>
        <rFont val="Arial"/>
        <family val="2"/>
      </rPr>
      <t xml:space="preserve"> стенки</t>
    </r>
  </si>
  <si>
    <r>
      <t xml:space="preserve">Эффективная ширина </t>
    </r>
    <r>
      <rPr>
        <b/>
        <sz val="8"/>
        <color indexed="10"/>
        <rFont val="Arial"/>
        <family val="2"/>
      </rPr>
      <t>части</t>
    </r>
    <r>
      <rPr>
        <b/>
        <sz val="8"/>
        <rFont val="Arial"/>
        <family val="2"/>
      </rPr>
      <t xml:space="preserve"> полки</t>
    </r>
  </si>
  <si>
    <t>Толщина металла номинальная</t>
  </si>
  <si>
    <t>r/t</t>
  </si>
  <si>
    <t>&lt;=5</t>
  </si>
  <si>
    <t>&lt;=0.1</t>
  </si>
  <si>
    <t>Положение нейтральной оси относительно растянутой полки</t>
  </si>
  <si>
    <t>Размер сжатой зоны с учетом эффективного сечения полки</t>
  </si>
  <si>
    <r>
      <t>t</t>
    </r>
    <r>
      <rPr>
        <b/>
        <vertAlign val="subscript"/>
        <sz val="10"/>
        <color indexed="12"/>
        <rFont val="Arial"/>
        <family val="2"/>
      </rPr>
      <t>nom</t>
    </r>
    <r>
      <rPr>
        <b/>
        <sz val="11"/>
        <color indexed="12"/>
        <rFont val="Arial"/>
        <family val="2"/>
      </rPr>
      <t>=</t>
    </r>
  </si>
  <si>
    <r>
      <t>t</t>
    </r>
    <r>
      <rPr>
        <b/>
        <vertAlign val="subscript"/>
        <sz val="10"/>
        <color indexed="12"/>
        <rFont val="Arial"/>
        <family val="2"/>
      </rPr>
      <t>п</t>
    </r>
    <r>
      <rPr>
        <b/>
        <sz val="11"/>
        <color indexed="12"/>
        <rFont val="Arial"/>
        <family val="2"/>
      </rPr>
      <t>=</t>
    </r>
  </si>
  <si>
    <r>
      <t>r</t>
    </r>
    <r>
      <rPr>
        <b/>
        <sz val="11"/>
        <color indexed="12"/>
        <rFont val="Arial"/>
        <family val="2"/>
      </rPr>
      <t>=</t>
    </r>
  </si>
  <si>
    <t>Толщина покрытия металла</t>
  </si>
  <si>
    <t>Параметр для учета скруглений углов</t>
  </si>
  <si>
    <t>Исходные данные:</t>
  </si>
  <si>
    <t>Высота профиля</t>
  </si>
  <si>
    <t>H=</t>
  </si>
  <si>
    <t>Ширина профиля</t>
  </si>
  <si>
    <t>B=</t>
  </si>
  <si>
    <t>Толщина стенок профиля (толщина листа)</t>
  </si>
  <si>
    <t>S=</t>
  </si>
  <si>
    <t>Ширина просвета профиля</t>
  </si>
  <si>
    <t>R=</t>
  </si>
  <si>
    <t>Геометрические характеристики элемента №1:</t>
  </si>
  <si>
    <t>Координаты центра тяжести
относительно осей x* и y*</t>
  </si>
  <si>
    <t>xc1=</t>
  </si>
  <si>
    <t>yc1=</t>
  </si>
  <si>
    <t>Площадь</t>
  </si>
  <si>
    <t>A1=</t>
  </si>
  <si>
    <r>
      <t>cм</t>
    </r>
    <r>
      <rPr>
        <b/>
        <vertAlign val="superscript"/>
        <sz val="9"/>
        <rFont val="Arial Cyr"/>
        <family val="0"/>
      </rPr>
      <t>2</t>
    </r>
  </si>
  <si>
    <t>Осевые моменты инерции</t>
  </si>
  <si>
    <t>Ix1=</t>
  </si>
  <si>
    <r>
      <t>cм</t>
    </r>
    <r>
      <rPr>
        <b/>
        <vertAlign val="superscript"/>
        <sz val="9"/>
        <rFont val="Arial Cyr"/>
        <family val="0"/>
      </rPr>
      <t>4</t>
    </r>
  </si>
  <si>
    <t>Iy1=</t>
  </si>
  <si>
    <r>
      <t>cм</t>
    </r>
    <r>
      <rPr>
        <b/>
        <vertAlign val="superscript"/>
        <sz val="9"/>
        <rFont val="Arial Cyr"/>
        <family val="0"/>
      </rPr>
      <t>4</t>
    </r>
  </si>
  <si>
    <t>Геометрические характеристики элементов №2 и №2':</t>
  </si>
  <si>
    <t>xc2=</t>
  </si>
  <si>
    <t>yc2=</t>
  </si>
  <si>
    <t>A2=</t>
  </si>
  <si>
    <t>Ix2=</t>
  </si>
  <si>
    <t>Iy2=</t>
  </si>
  <si>
    <t>Геометрические характеристики элементов №3 и №3':</t>
  </si>
  <si>
    <t>xc3=</t>
  </si>
  <si>
    <t>yc3=</t>
  </si>
  <si>
    <t>A3=</t>
  </si>
  <si>
    <t>Ix3=</t>
  </si>
  <si>
    <t>Iy3=</t>
  </si>
  <si>
    <t>Геометрические характеристики элементов №4 и №4':</t>
  </si>
  <si>
    <t>xc4=</t>
  </si>
  <si>
    <t>yc4=</t>
  </si>
  <si>
    <t>A4=</t>
  </si>
  <si>
    <t>Ix4=</t>
  </si>
  <si>
    <t>Iy4=</t>
  </si>
  <si>
    <t>Геометрические характеристики элементов №5 и №5':</t>
  </si>
  <si>
    <t>xc5=</t>
  </si>
  <si>
    <t>yc5=</t>
  </si>
  <si>
    <t>A5=</t>
  </si>
  <si>
    <t>Ix5=</t>
  </si>
  <si>
    <t>Iy5=</t>
  </si>
  <si>
    <t>Результаты расчета - геометрические характеристики профиля:</t>
  </si>
  <si>
    <t>Площадь сечения</t>
  </si>
  <si>
    <t>A=</t>
  </si>
  <si>
    <r>
      <t>cм</t>
    </r>
    <r>
      <rPr>
        <b/>
        <vertAlign val="superscript"/>
        <sz val="11"/>
        <color indexed="10"/>
        <rFont val="Arial Cyr"/>
        <family val="0"/>
      </rPr>
      <t>2</t>
    </r>
  </si>
  <si>
    <t>Статические моменты сечения</t>
  </si>
  <si>
    <t>Sx=</t>
  </si>
  <si>
    <r>
      <t>cм</t>
    </r>
    <r>
      <rPr>
        <b/>
        <vertAlign val="superscript"/>
        <sz val="11"/>
        <color indexed="10"/>
        <rFont val="Arial Cyr"/>
        <family val="0"/>
      </rPr>
      <t>3</t>
    </r>
  </si>
  <si>
    <t>Sy=</t>
  </si>
  <si>
    <t>Координаты центра тяжести сечения
относительно осей x* и y*</t>
  </si>
  <si>
    <t>z0=xc=</t>
  </si>
  <si>
    <t>yc=</t>
  </si>
  <si>
    <t>Центральные осевые моменты инерции</t>
  </si>
  <si>
    <t>Ix=</t>
  </si>
  <si>
    <r>
      <t>cм</t>
    </r>
    <r>
      <rPr>
        <b/>
        <vertAlign val="superscript"/>
        <sz val="11"/>
        <color indexed="10"/>
        <rFont val="Arial Cyr"/>
        <family val="0"/>
      </rPr>
      <t>4</t>
    </r>
  </si>
  <si>
    <t>Iy=</t>
  </si>
  <si>
    <r>
      <t>cм</t>
    </r>
    <r>
      <rPr>
        <b/>
        <vertAlign val="superscript"/>
        <sz val="11"/>
        <color indexed="10"/>
        <rFont val="Arial Cyr"/>
        <family val="0"/>
      </rPr>
      <t>4</t>
    </r>
  </si>
  <si>
    <t>Осевые моменты сопротивления
нормального сечения при изгибе</t>
  </si>
  <si>
    <t>Wx=</t>
  </si>
  <si>
    <r>
      <t>cм</t>
    </r>
    <r>
      <rPr>
        <b/>
        <vertAlign val="superscript"/>
        <sz val="11"/>
        <color indexed="10"/>
        <rFont val="Arial Cyr"/>
        <family val="0"/>
      </rPr>
      <t>3</t>
    </r>
  </si>
  <si>
    <t>Wy=</t>
  </si>
  <si>
    <t>Момент сопротивления нормального
сечения при кручении (приближенно)</t>
  </si>
  <si>
    <t>Wк=</t>
  </si>
  <si>
    <t>Радиусы инерции сечения</t>
  </si>
  <si>
    <t>ix=</t>
  </si>
  <si>
    <r>
      <t>cм</t>
    </r>
  </si>
  <si>
    <t>iy=</t>
  </si>
  <si>
    <t>Масса погонного метра профиля из стали</t>
  </si>
  <si>
    <t>M=</t>
  </si>
  <si>
    <t>кг/м</t>
  </si>
  <si>
    <t>Длина развертки сечения</t>
  </si>
  <si>
    <t>L=</t>
  </si>
  <si>
    <t>Толщина стали</t>
  </si>
  <si>
    <r>
      <t>I</t>
    </r>
    <r>
      <rPr>
        <b/>
        <vertAlign val="subscript"/>
        <sz val="11"/>
        <rFont val="Arial"/>
        <family val="2"/>
      </rPr>
      <t>s</t>
    </r>
    <r>
      <rPr>
        <b/>
        <sz val="11"/>
        <rFont val="Arial"/>
        <family val="2"/>
      </rPr>
      <t>=</t>
    </r>
  </si>
  <si>
    <t>Положение нейтральной оси относительно сжатой полки</t>
  </si>
  <si>
    <r>
      <t>h</t>
    </r>
    <r>
      <rPr>
        <b/>
        <vertAlign val="subscript"/>
        <sz val="11"/>
        <rFont val="Arial"/>
        <family val="2"/>
      </rPr>
      <t>р</t>
    </r>
    <r>
      <rPr>
        <b/>
        <sz val="11"/>
        <rFont val="Arial"/>
        <family val="2"/>
      </rPr>
      <t>=</t>
    </r>
  </si>
  <si>
    <r>
      <t>b</t>
    </r>
    <r>
      <rPr>
        <b/>
        <vertAlign val="subscript"/>
        <sz val="11"/>
        <rFont val="Arial"/>
        <family val="2"/>
      </rPr>
      <t>р</t>
    </r>
    <r>
      <rPr>
        <b/>
        <sz val="11"/>
        <rFont val="Arial"/>
        <family val="2"/>
      </rPr>
      <t>=</t>
    </r>
  </si>
  <si>
    <r>
      <t>c</t>
    </r>
    <r>
      <rPr>
        <b/>
        <vertAlign val="subscript"/>
        <sz val="11"/>
        <rFont val="Arial"/>
        <family val="2"/>
      </rPr>
      <t>р</t>
    </r>
    <r>
      <rPr>
        <b/>
        <sz val="11"/>
        <rFont val="Arial"/>
        <family val="2"/>
      </rPr>
      <t>=</t>
    </r>
  </si>
  <si>
    <r>
      <t>b</t>
    </r>
    <r>
      <rPr>
        <b/>
        <vertAlign val="subscript"/>
        <sz val="10"/>
        <rFont val="Arial"/>
        <family val="2"/>
      </rPr>
      <t>1</t>
    </r>
    <r>
      <rPr>
        <b/>
        <sz val="11"/>
        <rFont val="Arial"/>
        <family val="2"/>
      </rPr>
      <t>=</t>
    </r>
  </si>
  <si>
    <t>Расстояние от пересечения стенки и полки до ц. т. эффективной площади краевого отгиба</t>
  </si>
  <si>
    <r>
      <rPr>
        <b/>
        <u val="single"/>
        <sz val="12"/>
        <color indexed="20"/>
        <rFont val="Arial Cyr"/>
        <family val="0"/>
      </rPr>
      <t>Подпрограмма:</t>
    </r>
    <r>
      <rPr>
        <b/>
        <u val="single"/>
        <sz val="10"/>
        <color indexed="20"/>
        <rFont val="Arial Cyr"/>
        <family val="0"/>
      </rPr>
      <t xml:space="preserve"> Расчет геометрических характеристик поперечного сечения C-профиля</t>
    </r>
  </si>
  <si>
    <r>
      <t>b</t>
    </r>
    <r>
      <rPr>
        <b/>
        <vertAlign val="subscript"/>
        <sz val="10"/>
        <rFont val="Arial"/>
        <family val="2"/>
      </rPr>
      <t>1 i</t>
    </r>
    <r>
      <rPr>
        <b/>
        <sz val="11"/>
        <rFont val="Arial"/>
        <family val="2"/>
      </rPr>
      <t>=</t>
    </r>
  </si>
  <si>
    <r>
      <t>I</t>
    </r>
    <r>
      <rPr>
        <b/>
        <vertAlign val="subscript"/>
        <sz val="11"/>
        <rFont val="Arial"/>
        <family val="2"/>
      </rPr>
      <t>s i</t>
    </r>
    <r>
      <rPr>
        <b/>
        <sz val="11"/>
        <rFont val="Arial"/>
        <family val="2"/>
      </rPr>
      <t>=</t>
    </r>
  </si>
  <si>
    <t>новый χd меньше либо равен старому и приближенно равен старому</t>
  </si>
  <si>
    <t>СТОП, как выполнятся условия:</t>
  </si>
  <si>
    <t xml:space="preserve">Коэффициент для изгибаемого симметричного сечения относительно главной оси </t>
  </si>
  <si>
    <r>
      <t>I</t>
    </r>
    <r>
      <rPr>
        <b/>
        <vertAlign val="subscript"/>
        <sz val="11"/>
        <color indexed="10"/>
        <rFont val="Arial"/>
        <family val="2"/>
      </rPr>
      <t>y</t>
    </r>
    <r>
      <rPr>
        <b/>
        <sz val="11"/>
        <color indexed="10"/>
        <rFont val="Arial"/>
        <family val="2"/>
      </rPr>
      <t>=</t>
    </r>
  </si>
  <si>
    <r>
      <t>W</t>
    </r>
    <r>
      <rPr>
        <b/>
        <vertAlign val="subscript"/>
        <sz val="11"/>
        <color indexed="10"/>
        <rFont val="Arial"/>
        <family val="2"/>
      </rPr>
      <t>y</t>
    </r>
    <r>
      <rPr>
        <b/>
        <sz val="11"/>
        <color indexed="10"/>
        <rFont val="Arial"/>
        <family val="2"/>
      </rPr>
      <t>=</t>
    </r>
  </si>
  <si>
    <r>
      <t>f</t>
    </r>
    <r>
      <rPr>
        <b/>
        <vertAlign val="subscript"/>
        <sz val="11"/>
        <color indexed="12"/>
        <rFont val="Arial"/>
        <family val="2"/>
      </rPr>
      <t>y</t>
    </r>
    <r>
      <rPr>
        <b/>
        <sz val="11"/>
        <color indexed="12"/>
        <rFont val="Arial"/>
        <family val="2"/>
      </rPr>
      <t>=</t>
    </r>
  </si>
  <si>
    <t>Линейная жесткость упругой связи полки и отгиба при сжатии</t>
  </si>
  <si>
    <t>Линейная жесткость упругой связи полки и отгиба при изгибе</t>
  </si>
  <si>
    <t>Редуцированная толщина стенки полки и отгиба при сжатии</t>
  </si>
  <si>
    <t>Редуцированная толщина стенки полки и отгиба при изгибе</t>
  </si>
  <si>
    <t>Эффективная площадь сечения полки и отгиба (краевого элемента жесткости)</t>
  </si>
  <si>
    <t>Критич. напряжение потери устойчивости краевого отгиба в упругой стадии при сжатии</t>
  </si>
  <si>
    <t>Критич. напряжение потери устойчивости краевого отгиба в упругой стадии при изгибе</t>
  </si>
  <si>
    <t>Эффективный момент инерции сечения полки и отгиба (краевого элемента жесткости)</t>
  </si>
  <si>
    <t>Коэффициент снижения несущей способности при дисторсионной потере устойчивости  полки и отгиба (предварительно)</t>
  </si>
  <si>
    <t>Условная гибкость полки и отгиба (краевого элемента жесткости) при сжатии</t>
  </si>
  <si>
    <t>Условная гибкость полки и отгиба (краевого элемента жесткости) при изгибе</t>
  </si>
  <si>
    <t>Коэффициент снижения несущей способности при дисторсионной потере устойчивости  полки и отгиба (окончательно)</t>
  </si>
  <si>
    <r>
      <t>h</t>
    </r>
    <r>
      <rPr>
        <b/>
        <vertAlign val="subscript"/>
        <sz val="10"/>
        <rFont val="Arial"/>
        <family val="2"/>
      </rPr>
      <t>c</t>
    </r>
    <r>
      <rPr>
        <b/>
        <sz val="11"/>
        <rFont val="Arial"/>
        <family val="2"/>
      </rPr>
      <t>=</t>
    </r>
  </si>
  <si>
    <r>
      <t>r/h</t>
    </r>
    <r>
      <rPr>
        <b/>
        <vertAlign val="subscript"/>
        <sz val="8"/>
        <color indexed="10"/>
        <rFont val="Arial Black"/>
        <family val="2"/>
      </rPr>
      <t>с</t>
    </r>
  </si>
  <si>
    <r>
      <t>r/b</t>
    </r>
    <r>
      <rPr>
        <b/>
        <vertAlign val="subscript"/>
        <sz val="8"/>
        <color indexed="10"/>
        <rFont val="Arial Black"/>
        <family val="2"/>
      </rPr>
      <t>с</t>
    </r>
  </si>
  <si>
    <r>
      <t>r/c</t>
    </r>
    <r>
      <rPr>
        <b/>
        <vertAlign val="subscript"/>
        <sz val="8"/>
        <color indexed="10"/>
        <rFont val="Arial Black"/>
        <family val="2"/>
      </rPr>
      <t>с</t>
    </r>
  </si>
  <si>
    <t>условия не выполняются - необходимо учитывать радиус</t>
  </si>
  <si>
    <t>Эффективная площадь сечения профиля при изгибе (острые углы)</t>
  </si>
  <si>
    <t>Расчет сопротивления сечения
стального тонкостенного С-образного профиля
местной и дисторсионной потере устойчивости
при сжатии и изгибе относительно оси наибольшей жесткости</t>
  </si>
  <si>
    <r>
      <t>I</t>
    </r>
    <r>
      <rPr>
        <b/>
        <vertAlign val="subscript"/>
        <sz val="11"/>
        <rFont val="Arial"/>
        <family val="2"/>
      </rPr>
      <t>eff.y</t>
    </r>
    <r>
      <rPr>
        <b/>
        <vertAlign val="superscript"/>
        <sz val="11"/>
        <rFont val="Arial"/>
        <family val="2"/>
      </rPr>
      <t>о</t>
    </r>
    <r>
      <rPr>
        <b/>
        <sz val="11"/>
        <rFont val="Arial"/>
        <family val="2"/>
      </rPr>
      <t>=</t>
    </r>
  </si>
  <si>
    <t>Площадь эффективного сечения профиля (острые углы)</t>
  </si>
  <si>
    <r>
      <rPr>
        <b/>
        <sz val="11"/>
        <rFont val="Arial"/>
        <family val="2"/>
      </rPr>
      <t>z</t>
    </r>
    <r>
      <rPr>
        <b/>
        <vertAlign val="subscript"/>
        <sz val="11"/>
        <rFont val="Arial"/>
        <family val="2"/>
      </rPr>
      <t>c</t>
    </r>
    <r>
      <rPr>
        <b/>
        <sz val="11"/>
        <rFont val="Arial"/>
        <family val="2"/>
      </rPr>
      <t>=</t>
    </r>
  </si>
  <si>
    <r>
      <rPr>
        <b/>
        <sz val="11"/>
        <rFont val="Arial"/>
        <family val="2"/>
      </rPr>
      <t>z</t>
    </r>
    <r>
      <rPr>
        <b/>
        <vertAlign val="subscript"/>
        <sz val="11"/>
        <rFont val="Arial"/>
        <family val="2"/>
      </rPr>
      <t>t</t>
    </r>
    <r>
      <rPr>
        <b/>
        <sz val="11"/>
        <rFont val="Arial"/>
        <family val="2"/>
      </rPr>
      <t>=</t>
    </r>
  </si>
  <si>
    <r>
      <t>W</t>
    </r>
    <r>
      <rPr>
        <b/>
        <vertAlign val="subscript"/>
        <sz val="11"/>
        <color indexed="10"/>
        <rFont val="Arial"/>
        <family val="2"/>
      </rPr>
      <t>eff.y</t>
    </r>
    <r>
      <rPr>
        <b/>
        <sz val="11"/>
        <color indexed="10"/>
        <rFont val="Arial"/>
        <family val="2"/>
      </rPr>
      <t>/W</t>
    </r>
    <r>
      <rPr>
        <b/>
        <vertAlign val="subscript"/>
        <sz val="11"/>
        <color indexed="10"/>
        <rFont val="Arial"/>
        <family val="2"/>
      </rPr>
      <t>y</t>
    </r>
    <r>
      <rPr>
        <b/>
        <sz val="11"/>
        <color indexed="10"/>
        <rFont val="Arial"/>
        <family val="2"/>
      </rPr>
      <t>=</t>
    </r>
  </si>
  <si>
    <r>
      <t>χ</t>
    </r>
    <r>
      <rPr>
        <b/>
        <vertAlign val="subscript"/>
        <sz val="11"/>
        <color indexed="17"/>
        <rFont val="Arial"/>
        <family val="2"/>
      </rPr>
      <t>d 0</t>
    </r>
    <r>
      <rPr>
        <b/>
        <sz val="11"/>
        <color indexed="17"/>
        <rFont val="Arial"/>
        <family val="2"/>
      </rPr>
      <t>=</t>
    </r>
  </si>
  <si>
    <r>
      <t>χ</t>
    </r>
    <r>
      <rPr>
        <b/>
        <vertAlign val="subscript"/>
        <sz val="11"/>
        <color indexed="17"/>
        <rFont val="Arial"/>
        <family val="2"/>
      </rPr>
      <t>d</t>
    </r>
    <r>
      <rPr>
        <b/>
        <sz val="11"/>
        <color indexed="17"/>
        <rFont val="Arial"/>
        <family val="2"/>
      </rPr>
      <t>=</t>
    </r>
  </si>
  <si>
    <r>
      <t>χ</t>
    </r>
    <r>
      <rPr>
        <b/>
        <vertAlign val="subscript"/>
        <sz val="11"/>
        <color indexed="17"/>
        <rFont val="Arial"/>
        <family val="2"/>
      </rPr>
      <t>d i</t>
    </r>
    <r>
      <rPr>
        <b/>
        <sz val="11"/>
        <color indexed="17"/>
        <rFont val="Arial"/>
        <family val="2"/>
      </rPr>
      <t>=</t>
    </r>
  </si>
  <si>
    <t>условия не выполняются - расчет вести нельзя</t>
  </si>
  <si>
    <t>Момент инерции эффективного сечения профиля (острые углы)</t>
  </si>
  <si>
    <r>
      <t xml:space="preserve">Площадь эффективного сечения </t>
    </r>
    <r>
      <rPr>
        <b/>
        <sz val="8"/>
        <color indexed="10"/>
        <rFont val="Arial"/>
        <family val="2"/>
      </rPr>
      <t>(сжатие)</t>
    </r>
  </si>
  <si>
    <r>
      <t>Момент инерции эффективного сечения</t>
    </r>
    <r>
      <rPr>
        <b/>
        <sz val="8"/>
        <color indexed="10"/>
        <rFont val="Arial"/>
        <family val="2"/>
      </rPr>
      <t xml:space="preserve"> (изгиб)</t>
    </r>
  </si>
  <si>
    <r>
      <t>Момент сопротивления эффективного сечения</t>
    </r>
    <r>
      <rPr>
        <b/>
        <sz val="8"/>
        <color indexed="10"/>
        <rFont val="Arial"/>
        <family val="2"/>
      </rPr>
      <t xml:space="preserve"> (изгиб)</t>
    </r>
  </si>
  <si>
    <t xml:space="preserve">Упругое напряжение (Деформация?) </t>
  </si>
  <si>
    <r>
      <t>A</t>
    </r>
    <r>
      <rPr>
        <b/>
        <vertAlign val="subscript"/>
        <sz val="11"/>
        <rFont val="Arial"/>
        <family val="2"/>
      </rPr>
      <t>s</t>
    </r>
    <r>
      <rPr>
        <b/>
        <sz val="11"/>
        <rFont val="Arial"/>
        <family val="2"/>
      </rPr>
      <t>=</t>
    </r>
  </si>
  <si>
    <r>
      <t>A</t>
    </r>
    <r>
      <rPr>
        <b/>
        <vertAlign val="subscript"/>
        <sz val="11"/>
        <rFont val="Arial"/>
        <family val="2"/>
      </rPr>
      <t>s i</t>
    </r>
    <r>
      <rPr>
        <b/>
        <sz val="11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</si>
</sst>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0.0000"/>
    <numFmt numFmtId="199" formatCode="0.00000"/>
    <numFmt numFmtId="200" formatCode="0.000000"/>
    <numFmt numFmtId="201" formatCode="0.000%"/>
    <numFmt numFmtId="202" formatCode="#,##0.000"/>
    <numFmt numFmtId="203" formatCode="#,##0.0"/>
    <numFmt numFmtId="204" formatCode="#,##0.0000"/>
    <numFmt numFmtId="205" formatCode="#,##0.000000"/>
    <numFmt numFmtId="206" formatCode="#,##0.000000000"/>
    <numFmt numFmtId="207" formatCode="#,##0.0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0000000000000000000000"/>
    <numFmt numFmtId="213" formatCode="#,##0.000000000000"/>
    <numFmt numFmtId="214" formatCode="#,##0.0000000000"/>
    <numFmt numFmtId="215" formatCode="0.0E+00"/>
    <numFmt numFmtId="216" formatCode="0.0%"/>
    <numFmt numFmtId="217" formatCode="0.000000000E+00"/>
    <numFmt numFmtId="218" formatCode="0.000000000000000000000000000000E+00"/>
  </numFmts>
  <fonts count="9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6"/>
      <color indexed="20"/>
      <name val="Arial"/>
      <family val="2"/>
    </font>
    <font>
      <b/>
      <sz val="12"/>
      <color indexed="14"/>
      <name val="Arial Black"/>
      <family val="2"/>
    </font>
    <font>
      <b/>
      <sz val="8"/>
      <color indexed="14"/>
      <name val="Arial Black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 Cyr"/>
      <family val="0"/>
    </font>
    <font>
      <b/>
      <vertAlign val="subscript"/>
      <sz val="11"/>
      <color indexed="10"/>
      <name val="Arial"/>
      <family val="2"/>
    </font>
    <font>
      <b/>
      <vertAlign val="subscript"/>
      <sz val="11"/>
      <color indexed="12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1"/>
      <color indexed="10"/>
      <name val="Arial"/>
      <family val="2"/>
    </font>
    <font>
      <b/>
      <vertAlign val="subscript"/>
      <sz val="11"/>
      <name val="Arial Cyr"/>
      <family val="0"/>
    </font>
    <font>
      <b/>
      <sz val="10"/>
      <color indexed="14"/>
      <name val="Arial"/>
      <family val="2"/>
    </font>
    <font>
      <b/>
      <sz val="11"/>
      <color indexed="55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 Black"/>
      <family val="2"/>
    </font>
    <font>
      <b/>
      <sz val="8"/>
      <color indexed="14"/>
      <name val="Arial"/>
      <family val="2"/>
    </font>
    <font>
      <b/>
      <sz val="11"/>
      <color indexed="14"/>
      <name val="Arial"/>
      <family val="2"/>
    </font>
    <font>
      <b/>
      <vertAlign val="subscript"/>
      <sz val="11"/>
      <color indexed="14"/>
      <name val="Arial"/>
      <family val="2"/>
    </font>
    <font>
      <b/>
      <vertAlign val="subscript"/>
      <sz val="10"/>
      <color indexed="12"/>
      <name val="Arial"/>
      <family val="2"/>
    </font>
    <font>
      <b/>
      <sz val="11"/>
      <color indexed="14"/>
      <name val="Arial Cyr"/>
      <family val="0"/>
    </font>
    <font>
      <b/>
      <sz val="11"/>
      <color indexed="12"/>
      <name val="Arial Cyr"/>
      <family val="0"/>
    </font>
    <font>
      <b/>
      <sz val="9"/>
      <name val="Arial Cyr"/>
      <family val="0"/>
    </font>
    <font>
      <b/>
      <vertAlign val="superscript"/>
      <sz val="9"/>
      <name val="Arial Cyr"/>
      <family val="0"/>
    </font>
    <font>
      <b/>
      <sz val="11"/>
      <color indexed="10"/>
      <name val="Arial Cyr"/>
      <family val="0"/>
    </font>
    <font>
      <b/>
      <vertAlign val="superscript"/>
      <sz val="11"/>
      <color indexed="10"/>
      <name val="Arial Cyr"/>
      <family val="0"/>
    </font>
    <font>
      <b/>
      <vertAlign val="subscript"/>
      <sz val="10"/>
      <name val="Arial"/>
      <family val="2"/>
    </font>
    <font>
      <b/>
      <u val="single"/>
      <sz val="10"/>
      <color indexed="20"/>
      <name val="Arial Cyr"/>
      <family val="0"/>
    </font>
    <font>
      <b/>
      <u val="single"/>
      <sz val="12"/>
      <color indexed="20"/>
      <name val="Arial Cyr"/>
      <family val="0"/>
    </font>
    <font>
      <b/>
      <sz val="10"/>
      <name val="Arial Black"/>
      <family val="2"/>
    </font>
    <font>
      <b/>
      <vertAlign val="subscript"/>
      <sz val="8"/>
      <color indexed="10"/>
      <name val="Arial Black"/>
      <family val="2"/>
    </font>
    <font>
      <b/>
      <u val="single"/>
      <sz val="14"/>
      <color indexed="20"/>
      <name val="Arial"/>
      <family val="2"/>
    </font>
    <font>
      <b/>
      <sz val="11"/>
      <color indexed="17"/>
      <name val="Arial"/>
      <family val="2"/>
    </font>
    <font>
      <b/>
      <vertAlign val="subscript"/>
      <sz val="11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Black"/>
      <family val="2"/>
    </font>
    <font>
      <b/>
      <sz val="8"/>
      <color indexed="36"/>
      <name val="Arial Black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b/>
      <sz val="8"/>
      <color indexed="17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8"/>
      <color rgb="FFFF0000"/>
      <name val="Arial Black"/>
      <family val="2"/>
    </font>
    <font>
      <b/>
      <sz val="8"/>
      <color rgb="FF7030A0"/>
      <name val="Arial Black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FF"/>
      <name val="Arial"/>
      <family val="2"/>
    </font>
    <font>
      <b/>
      <sz val="11"/>
      <color rgb="FF00B050"/>
      <name val="Arial"/>
      <family val="2"/>
    </font>
    <font>
      <b/>
      <sz val="8"/>
      <color rgb="FF00B050"/>
      <name val="Arial"/>
      <family val="2"/>
    </font>
    <font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/>
      <protection/>
    </xf>
    <xf numFmtId="3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203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54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202" fontId="9" fillId="35" borderId="15" xfId="0" applyNumberFormat="1" applyFont="1" applyFill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202" fontId="9" fillId="34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16" xfId="54" applyFont="1" applyBorder="1" applyAlignment="1" applyProtection="1">
      <alignment horizontal="center" vertical="center" wrapText="1"/>
      <protection/>
    </xf>
    <xf numFmtId="0" fontId="7" fillId="0" borderId="17" xfId="54" applyFont="1" applyBorder="1" applyAlignment="1" applyProtection="1">
      <alignment horizontal="center" vertical="center" wrapText="1"/>
      <protection/>
    </xf>
    <xf numFmtId="3" fontId="8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/>
      <protection/>
    </xf>
    <xf numFmtId="4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202" fontId="9" fillId="35" borderId="16" xfId="0" applyNumberFormat="1" applyFont="1" applyFill="1" applyBorder="1" applyAlignment="1" applyProtection="1">
      <alignment horizontal="right" vertical="center" wrapText="1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202" fontId="9" fillId="35" borderId="22" xfId="0" applyNumberFormat="1" applyFont="1" applyFill="1" applyBorder="1" applyAlignment="1" applyProtection="1">
      <alignment horizontal="right" vertical="center" wrapText="1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202" fontId="9" fillId="35" borderId="24" xfId="0" applyNumberFormat="1" applyFont="1" applyFill="1" applyBorder="1" applyAlignment="1" applyProtection="1">
      <alignment horizontal="right" vertical="center" wrapText="1"/>
      <protection/>
    </xf>
    <xf numFmtId="0" fontId="9" fillId="0" borderId="25" xfId="0" applyFont="1" applyFill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202" fontId="9" fillId="35" borderId="13" xfId="0" applyNumberFormat="1" applyFont="1" applyFill="1" applyBorder="1" applyAlignment="1" applyProtection="1">
      <alignment horizontal="right" vertical="center" wrapText="1"/>
      <protection/>
    </xf>
    <xf numFmtId="202" fontId="9" fillId="34" borderId="26" xfId="0" applyNumberFormat="1" applyFont="1" applyFill="1" applyBorder="1" applyAlignment="1" applyProtection="1">
      <alignment horizontal="right" vertical="center" wrapText="1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202" fontId="9" fillId="35" borderId="15" xfId="0" applyNumberFormat="1" applyFont="1" applyFill="1" applyBorder="1" applyAlignment="1" applyProtection="1">
      <alignment/>
      <protection/>
    </xf>
    <xf numFmtId="202" fontId="9" fillId="0" borderId="15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left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center"/>
      <protection/>
    </xf>
    <xf numFmtId="0" fontId="7" fillId="0" borderId="15" xfId="54" applyFont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202" fontId="9" fillId="35" borderId="29" xfId="0" applyNumberFormat="1" applyFont="1" applyFill="1" applyBorder="1" applyAlignment="1" applyProtection="1">
      <alignment/>
      <protection/>
    </xf>
    <xf numFmtId="202" fontId="9" fillId="0" borderId="22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/>
      <protection/>
    </xf>
    <xf numFmtId="0" fontId="11" fillId="0" borderId="15" xfId="0" applyFont="1" applyBorder="1" applyAlignment="1" applyProtection="1">
      <alignment horizontal="left" vertical="center"/>
      <protection/>
    </xf>
    <xf numFmtId="202" fontId="9" fillId="35" borderId="15" xfId="0" applyNumberFormat="1" applyFont="1" applyFill="1" applyBorder="1" applyAlignment="1">
      <alignment horizontal="right"/>
    </xf>
    <xf numFmtId="0" fontId="11" fillId="0" borderId="0" xfId="0" applyFont="1" applyFill="1" applyBorder="1" applyAlignment="1" applyProtection="1">
      <alignment horizontal="center" vertical="center"/>
      <protection/>
    </xf>
    <xf numFmtId="3" fontId="11" fillId="35" borderId="26" xfId="0" applyNumberFormat="1" applyFont="1" applyFill="1" applyBorder="1" applyAlignment="1" applyProtection="1">
      <alignment horizontal="center" vertical="center" wrapText="1"/>
      <protection/>
    </xf>
    <xf numFmtId="3" fontId="11" fillId="35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/>
      <protection/>
    </xf>
    <xf numFmtId="0" fontId="22" fillId="0" borderId="15" xfId="54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/>
      <protection/>
    </xf>
    <xf numFmtId="203" fontId="0" fillId="35" borderId="15" xfId="0" applyNumberFormat="1" applyFill="1" applyBorder="1" applyAlignment="1" applyProtection="1">
      <alignment horizont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27" xfId="0" applyFont="1" applyFill="1" applyBorder="1" applyAlignment="1" applyProtection="1">
      <alignment horizontal="center" vertical="center"/>
      <protection/>
    </xf>
    <xf numFmtId="0" fontId="20" fillId="0" borderId="33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34" xfId="0" applyFont="1" applyFill="1" applyBorder="1" applyAlignment="1" applyProtection="1">
      <alignment horizontal="center" vertical="center"/>
      <protection/>
    </xf>
    <xf numFmtId="202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center" vertical="center"/>
      <protection/>
    </xf>
    <xf numFmtId="202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0" fontId="20" fillId="0" borderId="1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204" fontId="9" fillId="35" borderId="22" xfId="0" applyNumberFormat="1" applyFont="1" applyFill="1" applyBorder="1" applyAlignment="1" applyProtection="1">
      <alignment horizontal="right" vertical="center" wrapText="1"/>
      <protection/>
    </xf>
    <xf numFmtId="204" fontId="9" fillId="35" borderId="15" xfId="0" applyNumberFormat="1" applyFont="1" applyFill="1" applyBorder="1" applyAlignment="1" applyProtection="1">
      <alignment horizontal="right" vertical="center" wrapText="1"/>
      <protection/>
    </xf>
    <xf numFmtId="204" fontId="9" fillId="35" borderId="15" xfId="0" applyNumberFormat="1" applyFont="1" applyFill="1" applyBorder="1" applyAlignment="1" applyProtection="1">
      <alignment/>
      <protection/>
    </xf>
    <xf numFmtId="0" fontId="7" fillId="0" borderId="24" xfId="54" applyFont="1" applyBorder="1" applyAlignment="1" applyProtection="1">
      <alignment horizontal="center" vertical="center" wrapText="1"/>
      <protection/>
    </xf>
    <xf numFmtId="4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54" applyFont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3" fontId="8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center" vertical="center"/>
      <protection/>
    </xf>
    <xf numFmtId="203" fontId="8" fillId="34" borderId="13" xfId="0" applyNumberFormat="1" applyFont="1" applyFill="1" applyBorder="1" applyAlignment="1" applyProtection="1">
      <alignment horizontal="center" vertical="center" wrapText="1"/>
      <protection locked="0"/>
    </xf>
    <xf numFmtId="202" fontId="9" fillId="36" borderId="10" xfId="0" applyNumberFormat="1" applyFont="1" applyFill="1" applyBorder="1" applyAlignment="1" applyProtection="1">
      <alignment horizontal="right" vertical="center" wrapText="1"/>
      <protection/>
    </xf>
    <xf numFmtId="0" fontId="28" fillId="0" borderId="27" xfId="54" applyFont="1" applyBorder="1" applyAlignment="1">
      <alignment horizontal="center"/>
      <protection/>
    </xf>
    <xf numFmtId="0" fontId="28" fillId="0" borderId="26" xfId="54" applyFont="1" applyBorder="1">
      <alignment/>
      <protection/>
    </xf>
    <xf numFmtId="0" fontId="8" fillId="0" borderId="26" xfId="54" applyFont="1" applyBorder="1" applyAlignment="1">
      <alignment horizontal="center"/>
      <protection/>
    </xf>
    <xf numFmtId="197" fontId="28" fillId="36" borderId="26" xfId="54" applyNumberFormat="1" applyFont="1" applyFill="1" applyBorder="1" applyAlignment="1" applyProtection="1">
      <alignment horizontal="right"/>
      <protection/>
    </xf>
    <xf numFmtId="0" fontId="28" fillId="0" borderId="23" xfId="54" applyFont="1" applyBorder="1" applyAlignment="1">
      <alignment horizontal="center"/>
      <protection/>
    </xf>
    <xf numFmtId="0" fontId="28" fillId="0" borderId="11" xfId="54" applyFont="1" applyBorder="1" applyAlignment="1">
      <alignment horizontal="center"/>
      <protection/>
    </xf>
    <xf numFmtId="0" fontId="28" fillId="0" borderId="15" xfId="54" applyFont="1" applyBorder="1">
      <alignment/>
      <protection/>
    </xf>
    <xf numFmtId="0" fontId="28" fillId="0" borderId="15" xfId="54" applyFont="1" applyBorder="1" applyAlignment="1">
      <alignment horizontal="center"/>
      <protection/>
    </xf>
    <xf numFmtId="197" fontId="28" fillId="36" borderId="15" xfId="54" applyNumberFormat="1" applyFont="1" applyFill="1" applyBorder="1" applyAlignment="1" applyProtection="1">
      <alignment horizontal="right"/>
      <protection/>
    </xf>
    <xf numFmtId="0" fontId="28" fillId="0" borderId="12" xfId="54" applyFont="1" applyBorder="1" applyAlignment="1">
      <alignment horizontal="center"/>
      <protection/>
    </xf>
    <xf numFmtId="2" fontId="28" fillId="36" borderId="15" xfId="54" applyNumberFormat="1" applyFont="1" applyFill="1" applyBorder="1" applyAlignment="1" applyProtection="1">
      <alignment horizontal="right"/>
      <protection/>
    </xf>
    <xf numFmtId="0" fontId="28" fillId="0" borderId="31" xfId="54" applyFont="1" applyBorder="1" applyAlignment="1">
      <alignment horizontal="center"/>
      <protection/>
    </xf>
    <xf numFmtId="0" fontId="28" fillId="0" borderId="10" xfId="54" applyFont="1" applyBorder="1">
      <alignment/>
      <protection/>
    </xf>
    <xf numFmtId="197" fontId="28" fillId="36" borderId="10" xfId="54" applyNumberFormat="1" applyFont="1" applyFill="1" applyBorder="1" applyAlignment="1" applyProtection="1">
      <alignment horizontal="right"/>
      <protection/>
    </xf>
    <xf numFmtId="0" fontId="28" fillId="0" borderId="28" xfId="54" applyFont="1" applyBorder="1" applyAlignment="1">
      <alignment horizontal="center"/>
      <protection/>
    </xf>
    <xf numFmtId="0" fontId="28" fillId="0" borderId="13" xfId="54" applyFont="1" applyBorder="1">
      <alignment/>
      <protection/>
    </xf>
    <xf numFmtId="0" fontId="28" fillId="0" borderId="13" xfId="54" applyFont="1" applyBorder="1" applyAlignment="1">
      <alignment horizontal="center"/>
      <protection/>
    </xf>
    <xf numFmtId="2" fontId="28" fillId="36" borderId="13" xfId="54" applyNumberFormat="1" applyFont="1" applyFill="1" applyBorder="1" applyAlignment="1" applyProtection="1">
      <alignment horizontal="right"/>
      <protection/>
    </xf>
    <xf numFmtId="0" fontId="28" fillId="0" borderId="20" xfId="54" applyFont="1" applyBorder="1" applyAlignment="1">
      <alignment horizontal="center"/>
      <protection/>
    </xf>
    <xf numFmtId="0" fontId="29" fillId="0" borderId="27" xfId="54" applyFont="1" applyBorder="1" applyAlignment="1">
      <alignment horizontal="center"/>
      <protection/>
    </xf>
    <xf numFmtId="0" fontId="29" fillId="0" borderId="26" xfId="54" applyFont="1" applyBorder="1" applyAlignment="1">
      <alignment horizontal="center"/>
      <protection/>
    </xf>
    <xf numFmtId="196" fontId="29" fillId="35" borderId="26" xfId="54" applyNumberFormat="1" applyFont="1" applyFill="1" applyBorder="1" applyAlignment="1">
      <alignment horizontal="right"/>
      <protection/>
    </xf>
    <xf numFmtId="0" fontId="29" fillId="0" borderId="23" xfId="54" applyFont="1" applyBorder="1" applyAlignment="1">
      <alignment horizontal="center"/>
      <protection/>
    </xf>
    <xf numFmtId="0" fontId="29" fillId="0" borderId="11" xfId="54" applyFont="1" applyBorder="1" applyAlignment="1">
      <alignment horizontal="center"/>
      <protection/>
    </xf>
    <xf numFmtId="0" fontId="29" fillId="0" borderId="15" xfId="54" applyFont="1" applyBorder="1" applyAlignment="1">
      <alignment horizontal="center"/>
      <protection/>
    </xf>
    <xf numFmtId="196" fontId="29" fillId="35" borderId="15" xfId="54" applyNumberFormat="1" applyFont="1" applyFill="1" applyBorder="1" applyAlignment="1">
      <alignment horizontal="right"/>
      <protection/>
    </xf>
    <xf numFmtId="0" fontId="29" fillId="0" borderId="12" xfId="54" applyFont="1" applyBorder="1" applyAlignment="1">
      <alignment horizontal="center"/>
      <protection/>
    </xf>
    <xf numFmtId="0" fontId="29" fillId="0" borderId="15" xfId="54" applyFont="1" applyBorder="1" applyProtection="1">
      <alignment/>
      <protection/>
    </xf>
    <xf numFmtId="0" fontId="29" fillId="0" borderId="15" xfId="54" applyFont="1" applyBorder="1" applyAlignment="1" applyProtection="1">
      <alignment horizontal="center"/>
      <protection/>
    </xf>
    <xf numFmtId="196" fontId="29" fillId="35" borderId="15" xfId="54" applyNumberFormat="1" applyFont="1" applyFill="1" applyBorder="1" applyAlignment="1" applyProtection="1">
      <alignment horizontal="right"/>
      <protection/>
    </xf>
    <xf numFmtId="0" fontId="29" fillId="0" borderId="12" xfId="54" applyFont="1" applyBorder="1" applyAlignment="1" applyProtection="1">
      <alignment horizontal="center"/>
      <protection/>
    </xf>
    <xf numFmtId="0" fontId="29" fillId="0" borderId="33" xfId="54" applyFont="1" applyBorder="1" applyAlignment="1">
      <alignment horizontal="center"/>
      <protection/>
    </xf>
    <xf numFmtId="0" fontId="29" fillId="0" borderId="22" xfId="54" applyFont="1" applyBorder="1" applyAlignment="1">
      <alignment horizontal="center"/>
      <protection/>
    </xf>
    <xf numFmtId="196" fontId="29" fillId="35" borderId="22" xfId="54" applyNumberFormat="1" applyFont="1" applyFill="1" applyBorder="1" applyAlignment="1">
      <alignment horizontal="right"/>
      <protection/>
    </xf>
    <xf numFmtId="0" fontId="31" fillId="0" borderId="27" xfId="54" applyFont="1" applyBorder="1" applyAlignment="1">
      <alignment horizontal="center"/>
      <protection/>
    </xf>
    <xf numFmtId="0" fontId="31" fillId="0" borderId="26" xfId="54" applyFont="1" applyBorder="1" applyProtection="1">
      <alignment/>
      <protection/>
    </xf>
    <xf numFmtId="0" fontId="31" fillId="0" borderId="26" xfId="54" applyFont="1" applyBorder="1" applyAlignment="1" applyProtection="1">
      <alignment horizontal="center"/>
      <protection/>
    </xf>
    <xf numFmtId="196" fontId="31" fillId="35" borderId="26" xfId="54" applyNumberFormat="1" applyFont="1" applyFill="1" applyBorder="1" applyAlignment="1" applyProtection="1">
      <alignment horizontal="right"/>
      <protection/>
    </xf>
    <xf numFmtId="0" fontId="31" fillId="0" borderId="23" xfId="54" applyFont="1" applyBorder="1" applyAlignment="1" applyProtection="1">
      <alignment horizontal="center"/>
      <protection/>
    </xf>
    <xf numFmtId="0" fontId="31" fillId="0" borderId="11" xfId="54" applyFont="1" applyBorder="1" applyAlignment="1">
      <alignment horizontal="center"/>
      <protection/>
    </xf>
    <xf numFmtId="0" fontId="31" fillId="0" borderId="15" xfId="54" applyFont="1" applyBorder="1" applyAlignment="1" applyProtection="1">
      <alignment horizontal="center"/>
      <protection/>
    </xf>
    <xf numFmtId="196" fontId="31" fillId="35" borderId="15" xfId="54" applyNumberFormat="1" applyFont="1" applyFill="1" applyBorder="1" applyAlignment="1" applyProtection="1">
      <alignment horizontal="right"/>
      <protection/>
    </xf>
    <xf numFmtId="0" fontId="31" fillId="0" borderId="12" xfId="54" applyFont="1" applyBorder="1" applyAlignment="1" applyProtection="1">
      <alignment horizontal="center"/>
      <protection/>
    </xf>
    <xf numFmtId="0" fontId="31" fillId="0" borderId="15" xfId="54" applyFont="1" applyBorder="1" applyAlignment="1">
      <alignment horizontal="center"/>
      <protection/>
    </xf>
    <xf numFmtId="0" fontId="31" fillId="0" borderId="15" xfId="54" applyFont="1" applyBorder="1" applyAlignment="1">
      <alignment horizontal="left" vertical="center" wrapText="1"/>
      <protection/>
    </xf>
    <xf numFmtId="0" fontId="31" fillId="0" borderId="11" xfId="54" applyFont="1" applyBorder="1" applyAlignment="1">
      <alignment horizontal="center" vertical="center"/>
      <protection/>
    </xf>
    <xf numFmtId="0" fontId="31" fillId="0" borderId="15" xfId="54" applyFont="1" applyBorder="1" applyAlignment="1" applyProtection="1">
      <alignment horizontal="center" vertical="center"/>
      <protection/>
    </xf>
    <xf numFmtId="196" fontId="31" fillId="35" borderId="15" xfId="54" applyNumberFormat="1" applyFont="1" applyFill="1" applyBorder="1" applyAlignment="1" applyProtection="1">
      <alignment horizontal="right" vertical="center"/>
      <protection/>
    </xf>
    <xf numFmtId="0" fontId="31" fillId="0" borderId="12" xfId="54" applyFont="1" applyBorder="1" applyAlignment="1" applyProtection="1">
      <alignment horizontal="center" vertical="center"/>
      <protection/>
    </xf>
    <xf numFmtId="0" fontId="31" fillId="0" borderId="15" xfId="54" applyFont="1" applyBorder="1" applyProtection="1">
      <alignment/>
      <protection/>
    </xf>
    <xf numFmtId="0" fontId="31" fillId="0" borderId="12" xfId="54" applyFont="1" applyBorder="1" applyAlignment="1">
      <alignment horizontal="center"/>
      <protection/>
    </xf>
    <xf numFmtId="0" fontId="31" fillId="0" borderId="28" xfId="54" applyFont="1" applyBorder="1" applyAlignment="1">
      <alignment horizontal="center"/>
      <protection/>
    </xf>
    <xf numFmtId="0" fontId="31" fillId="0" borderId="13" xfId="54" applyFont="1" applyBorder="1">
      <alignment/>
      <protection/>
    </xf>
    <xf numFmtId="0" fontId="31" fillId="0" borderId="13" xfId="54" applyFont="1" applyBorder="1" applyAlignment="1">
      <alignment horizontal="center"/>
      <protection/>
    </xf>
    <xf numFmtId="196" fontId="31" fillId="35" borderId="13" xfId="54" applyNumberFormat="1" applyFont="1" applyFill="1" applyBorder="1" applyAlignment="1" applyProtection="1">
      <alignment horizontal="right"/>
      <protection/>
    </xf>
    <xf numFmtId="0" fontId="31" fillId="0" borderId="20" xfId="54" applyFont="1" applyBorder="1" applyAlignment="1" applyProtection="1">
      <alignment horizontal="center"/>
      <protection/>
    </xf>
    <xf numFmtId="202" fontId="9" fillId="36" borderId="15" xfId="0" applyNumberFormat="1" applyFont="1" applyFill="1" applyBorder="1" applyAlignment="1" applyProtection="1">
      <alignment horizontal="right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left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3" fontId="24" fillId="35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/>
      <protection/>
    </xf>
    <xf numFmtId="202" fontId="8" fillId="37" borderId="15" xfId="0" applyNumberFormat="1" applyFont="1" applyFill="1" applyBorder="1" applyAlignment="1" applyProtection="1">
      <alignment/>
      <protection/>
    </xf>
    <xf numFmtId="202" fontId="9" fillId="0" borderId="0" xfId="0" applyNumberFormat="1" applyFont="1" applyFill="1" applyBorder="1" applyAlignment="1" applyProtection="1">
      <alignment/>
      <protection/>
    </xf>
    <xf numFmtId="202" fontId="11" fillId="0" borderId="0" xfId="0" applyNumberFormat="1" applyFont="1" applyFill="1" applyBorder="1" applyAlignment="1" applyProtection="1">
      <alignment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3" fontId="11" fillId="35" borderId="13" xfId="0" applyNumberFormat="1" applyFont="1" applyFill="1" applyBorder="1" applyAlignment="1" applyProtection="1">
      <alignment horizontal="center" vertical="center" wrapText="1"/>
      <protection/>
    </xf>
    <xf numFmtId="202" fontId="81" fillId="37" borderId="15" xfId="0" applyNumberFormat="1" applyFont="1" applyFill="1" applyBorder="1" applyAlignment="1" applyProtection="1">
      <alignment/>
      <protection/>
    </xf>
    <xf numFmtId="205" fontId="9" fillId="35" borderId="15" xfId="0" applyNumberFormat="1" applyFont="1" applyFill="1" applyBorder="1" applyAlignment="1" applyProtection="1">
      <alignment horizontal="right" vertical="center" wrapText="1"/>
      <protection/>
    </xf>
    <xf numFmtId="206" fontId="19" fillId="0" borderId="0" xfId="0" applyNumberFormat="1" applyFont="1" applyFill="1" applyBorder="1" applyAlignment="1" applyProtection="1">
      <alignment/>
      <protection/>
    </xf>
    <xf numFmtId="205" fontId="9" fillId="0" borderId="0" xfId="0" applyNumberFormat="1" applyFont="1" applyFill="1" applyBorder="1" applyAlignment="1" applyProtection="1">
      <alignment horizontal="right" vertical="center" wrapText="1"/>
      <protection/>
    </xf>
    <xf numFmtId="205" fontId="9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8" fillId="0" borderId="22" xfId="0" applyFont="1" applyBorder="1" applyAlignment="1" applyProtection="1">
      <alignment horizontal="center"/>
      <protection/>
    </xf>
    <xf numFmtId="202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82" fillId="0" borderId="0" xfId="0" applyFont="1" applyFill="1" applyBorder="1" applyAlignment="1" applyProtection="1">
      <alignment horizontal="center" vertical="center"/>
      <protection/>
    </xf>
    <xf numFmtId="202" fontId="82" fillId="0" borderId="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202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05" fontId="19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83" fillId="0" borderId="15" xfId="54" applyFont="1" applyBorder="1" applyAlignment="1" applyProtection="1">
      <alignment horizontal="center" vertical="center" wrapText="1"/>
      <protection/>
    </xf>
    <xf numFmtId="0" fontId="84" fillId="0" borderId="15" xfId="54" applyFont="1" applyBorder="1" applyAlignment="1" applyProtection="1">
      <alignment horizontal="center" vertical="center" wrapText="1"/>
      <protection/>
    </xf>
    <xf numFmtId="0" fontId="85" fillId="0" borderId="15" xfId="0" applyFont="1" applyBorder="1" applyAlignment="1" applyProtection="1">
      <alignment horizontal="center"/>
      <protection/>
    </xf>
    <xf numFmtId="4" fontId="85" fillId="35" borderId="15" xfId="0" applyNumberFormat="1" applyFont="1" applyFill="1" applyBorder="1" applyAlignment="1" applyProtection="1">
      <alignment horizontal="center"/>
      <protection/>
    </xf>
    <xf numFmtId="0" fontId="86" fillId="0" borderId="15" xfId="53" applyFont="1" applyBorder="1" applyAlignment="1" applyProtection="1">
      <alignment horizontal="center"/>
      <protection/>
    </xf>
    <xf numFmtId="4" fontId="86" fillId="35" borderId="15" xfId="53" applyNumberFormat="1" applyFont="1" applyFill="1" applyBorder="1" applyAlignment="1" applyProtection="1">
      <alignment horizontal="center"/>
      <protection/>
    </xf>
    <xf numFmtId="202" fontId="86" fillId="35" borderId="15" xfId="53" applyNumberFormat="1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 vertical="center"/>
      <protection/>
    </xf>
    <xf numFmtId="0" fontId="87" fillId="0" borderId="0" xfId="0" applyFont="1" applyAlignment="1">
      <alignment/>
    </xf>
    <xf numFmtId="0" fontId="8" fillId="0" borderId="18" xfId="0" applyFont="1" applyFill="1" applyBorder="1" applyAlignment="1" applyProtection="1">
      <alignment horizontal="left" vertical="center"/>
      <protection/>
    </xf>
    <xf numFmtId="0" fontId="8" fillId="0" borderId="18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left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left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20" fillId="0" borderId="16" xfId="0" applyFont="1" applyFill="1" applyBorder="1" applyAlignment="1" applyProtection="1">
      <alignment horizontal="left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20" fillId="0" borderId="35" xfId="0" applyFont="1" applyFill="1" applyBorder="1" applyAlignment="1" applyProtection="1">
      <alignment horizontal="left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left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0" fontId="7" fillId="0" borderId="0" xfId="54" applyFont="1" applyFill="1" applyBorder="1" applyAlignment="1" applyProtection="1">
      <alignment horizontal="center" vertical="center" wrapText="1"/>
      <protection/>
    </xf>
    <xf numFmtId="202" fontId="88" fillId="35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left" vertical="center"/>
      <protection/>
    </xf>
    <xf numFmtId="0" fontId="24" fillId="0" borderId="16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20" fillId="38" borderId="15" xfId="0" applyFont="1" applyFill="1" applyBorder="1" applyAlignment="1" applyProtection="1">
      <alignment horizontal="left" vertical="center"/>
      <protection/>
    </xf>
    <xf numFmtId="0" fontId="20" fillId="38" borderId="26" xfId="0" applyFont="1" applyFill="1" applyBorder="1" applyAlignment="1" applyProtection="1">
      <alignment horizontal="left" vertical="center"/>
      <protection/>
    </xf>
    <xf numFmtId="0" fontId="20" fillId="38" borderId="22" xfId="0" applyFont="1" applyFill="1" applyBorder="1" applyAlignment="1" applyProtection="1">
      <alignment horizontal="left" vertical="center"/>
      <protection/>
    </xf>
    <xf numFmtId="0" fontId="89" fillId="0" borderId="15" xfId="0" applyFont="1" applyFill="1" applyBorder="1" applyAlignment="1" applyProtection="1">
      <alignment horizontal="center" vertical="center"/>
      <protection/>
    </xf>
    <xf numFmtId="205" fontId="89" fillId="35" borderId="15" xfId="0" applyNumberFormat="1" applyFont="1" applyFill="1" applyBorder="1" applyAlignment="1" applyProtection="1">
      <alignment horizontal="right" vertical="center" wrapText="1"/>
      <protection/>
    </xf>
    <xf numFmtId="0" fontId="89" fillId="0" borderId="12" xfId="0" applyFont="1" applyFill="1" applyBorder="1" applyAlignment="1" applyProtection="1">
      <alignment horizontal="center" vertical="center"/>
      <protection/>
    </xf>
    <xf numFmtId="0" fontId="89" fillId="0" borderId="15" xfId="0" applyFont="1" applyBorder="1" applyAlignment="1" applyProtection="1">
      <alignment horizontal="center" vertical="center"/>
      <protection/>
    </xf>
    <xf numFmtId="205" fontId="89" fillId="35" borderId="15" xfId="0" applyNumberFormat="1" applyFont="1" applyFill="1" applyBorder="1" applyAlignment="1" applyProtection="1">
      <alignment/>
      <protection/>
    </xf>
    <xf numFmtId="0" fontId="90" fillId="37" borderId="15" xfId="0" applyFont="1" applyFill="1" applyBorder="1" applyAlignment="1" applyProtection="1">
      <alignment horizontal="left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3" fontId="82" fillId="35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1" fillId="0" borderId="0" xfId="0" applyFont="1" applyFill="1" applyAlignment="1">
      <alignment/>
    </xf>
    <xf numFmtId="202" fontId="9" fillId="0" borderId="0" xfId="0" applyNumberFormat="1" applyFont="1" applyFill="1" applyBorder="1" applyAlignment="1" applyProtection="1">
      <alignment horizontal="center" vertical="center"/>
      <protection/>
    </xf>
    <xf numFmtId="204" fontId="9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32" xfId="54" applyFont="1" applyBorder="1" applyAlignment="1" applyProtection="1">
      <alignment horizontal="left" vertical="center"/>
      <protection/>
    </xf>
    <xf numFmtId="0" fontId="6" fillId="0" borderId="16" xfId="54" applyFont="1" applyBorder="1" applyAlignment="1" applyProtection="1">
      <alignment horizontal="left" vertical="center"/>
      <protection/>
    </xf>
    <xf numFmtId="0" fontId="6" fillId="0" borderId="34" xfId="54" applyFont="1" applyBorder="1" applyAlignment="1" applyProtection="1">
      <alignment horizontal="left" vertical="center"/>
      <protection/>
    </xf>
    <xf numFmtId="0" fontId="6" fillId="0" borderId="24" xfId="54" applyFont="1" applyBorder="1" applyAlignment="1" applyProtection="1">
      <alignment horizontal="left" vertical="center"/>
      <protection/>
    </xf>
    <xf numFmtId="202" fontId="11" fillId="35" borderId="36" xfId="0" applyNumberFormat="1" applyFont="1" applyFill="1" applyBorder="1" applyAlignment="1" applyProtection="1">
      <alignment horizontal="center" vertical="center" wrapText="1"/>
      <protection/>
    </xf>
    <xf numFmtId="202" fontId="11" fillId="35" borderId="37" xfId="0" applyNumberFormat="1" applyFont="1" applyFill="1" applyBorder="1" applyAlignment="1" applyProtection="1">
      <alignment horizontal="center" vertical="center" wrapText="1"/>
      <protection/>
    </xf>
    <xf numFmtId="202" fontId="11" fillId="35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54" applyFont="1" applyBorder="1" applyAlignment="1" applyProtection="1">
      <alignment horizontal="center" vertical="center" wrapText="1"/>
      <protection/>
    </xf>
    <xf numFmtId="0" fontId="29" fillId="0" borderId="39" xfId="54" applyFont="1" applyBorder="1" applyAlignment="1">
      <alignment horizontal="left"/>
      <protection/>
    </xf>
    <xf numFmtId="0" fontId="29" fillId="0" borderId="40" xfId="54" applyFont="1" applyBorder="1" applyAlignment="1">
      <alignment horizontal="left"/>
      <protection/>
    </xf>
    <xf numFmtId="0" fontId="29" fillId="0" borderId="41" xfId="54" applyFont="1" applyBorder="1" applyAlignment="1">
      <alignment horizontal="left"/>
      <protection/>
    </xf>
    <xf numFmtId="0" fontId="7" fillId="0" borderId="15" xfId="54" applyFont="1" applyBorder="1" applyAlignment="1" applyProtection="1">
      <alignment horizontal="center" vertical="center" wrapText="1"/>
      <protection/>
    </xf>
    <xf numFmtId="0" fontId="34" fillId="0" borderId="39" xfId="54" applyFont="1" applyBorder="1" applyAlignment="1" applyProtection="1">
      <alignment horizontal="center" vertical="center" wrapText="1"/>
      <protection/>
    </xf>
    <xf numFmtId="0" fontId="36" fillId="0" borderId="40" xfId="54" applyFont="1" applyBorder="1" applyAlignment="1" applyProtection="1">
      <alignment horizontal="center" vertical="center"/>
      <protection/>
    </xf>
    <xf numFmtId="0" fontId="36" fillId="0" borderId="41" xfId="54" applyFont="1" applyBorder="1" applyAlignment="1" applyProtection="1">
      <alignment horizontal="center" vertical="center"/>
      <protection/>
    </xf>
    <xf numFmtId="0" fontId="27" fillId="0" borderId="39" xfId="54" applyFont="1" applyBorder="1" applyAlignment="1">
      <alignment horizontal="left"/>
      <protection/>
    </xf>
    <xf numFmtId="0" fontId="27" fillId="0" borderId="40" xfId="54" applyFont="1" applyBorder="1" applyAlignment="1">
      <alignment horizontal="left"/>
      <protection/>
    </xf>
    <xf numFmtId="0" fontId="27" fillId="0" borderId="41" xfId="54" applyFont="1" applyBorder="1" applyAlignment="1">
      <alignment horizontal="left"/>
      <protection/>
    </xf>
    <xf numFmtId="0" fontId="29" fillId="0" borderId="18" xfId="54" applyFont="1" applyBorder="1" applyAlignment="1">
      <alignment horizontal="left" vertical="center" wrapText="1"/>
      <protection/>
    </xf>
    <xf numFmtId="0" fontId="29" fillId="0" borderId="22" xfId="54" applyFont="1" applyBorder="1" applyAlignment="1">
      <alignment horizontal="left" vertical="center"/>
      <protection/>
    </xf>
    <xf numFmtId="0" fontId="29" fillId="0" borderId="35" xfId="54" applyFont="1" applyBorder="1" applyAlignment="1">
      <alignment horizontal="left" vertical="center"/>
      <protection/>
    </xf>
    <xf numFmtId="0" fontId="27" fillId="0" borderId="42" xfId="54" applyFont="1" applyBorder="1" applyAlignment="1">
      <alignment horizontal="left"/>
      <protection/>
    </xf>
    <xf numFmtId="0" fontId="27" fillId="0" borderId="37" xfId="54" applyFont="1" applyBorder="1" applyAlignment="1">
      <alignment horizontal="left"/>
      <protection/>
    </xf>
    <xf numFmtId="0" fontId="27" fillId="0" borderId="38" xfId="54" applyFont="1" applyBorder="1" applyAlignment="1">
      <alignment horizontal="left"/>
      <protection/>
    </xf>
    <xf numFmtId="0" fontId="31" fillId="0" borderId="15" xfId="54" applyFont="1" applyBorder="1" applyAlignment="1" applyProtection="1">
      <alignment horizontal="left" vertical="center"/>
      <protection/>
    </xf>
    <xf numFmtId="0" fontId="31" fillId="0" borderId="15" xfId="54" applyFont="1" applyBorder="1" applyAlignment="1" applyProtection="1">
      <alignment horizontal="left" vertical="center" wrapText="1"/>
      <protection/>
    </xf>
    <xf numFmtId="0" fontId="31" fillId="0" borderId="15" xfId="54" applyFont="1" applyBorder="1" applyAlignment="1">
      <alignment horizontal="left" vertical="center"/>
      <protection/>
    </xf>
    <xf numFmtId="0" fontId="31" fillId="0" borderId="15" xfId="54" applyFont="1" applyBorder="1" applyAlignment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raschet-privoda-telezhki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20</xdr:col>
      <xdr:colOff>76200</xdr:colOff>
      <xdr:row>20</xdr:row>
      <xdr:rowOff>66675</xdr:rowOff>
    </xdr:to>
    <xdr:pic>
      <xdr:nvPicPr>
        <xdr:cNvPr id="1" name="Рисунок 2" descr="lstk-profi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952500"/>
          <a:ext cx="19050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6"/>
  <sheetViews>
    <sheetView tabSelected="1" zoomScalePageLayoutView="0" workbookViewId="0" topLeftCell="A1">
      <selection activeCell="D3" sqref="D3"/>
    </sheetView>
  </sheetViews>
  <sheetFormatPr defaultColWidth="9.140625" defaultRowHeight="12.75" outlineLevelRow="1" outlineLevelCol="1"/>
  <cols>
    <col min="1" max="1" width="3.8515625" style="0" bestFit="1" customWidth="1"/>
    <col min="2" max="2" width="57.140625" style="0" customWidth="1"/>
    <col min="3" max="3" width="10.7109375" style="0" bestFit="1" customWidth="1"/>
    <col min="4" max="4" width="14.28125" style="0" bestFit="1" customWidth="1"/>
    <col min="5" max="5" width="5.57421875" style="0" bestFit="1" customWidth="1"/>
    <col min="6" max="6" width="2.00390625" style="0" customWidth="1"/>
    <col min="7" max="7" width="9.140625" style="0" customWidth="1"/>
    <col min="8" max="8" width="9.140625" style="0" hidden="1" customWidth="1" outlineLevel="1"/>
    <col min="9" max="12" width="10.140625" style="0" hidden="1" customWidth="1" outlineLevel="1"/>
    <col min="13" max="13" width="2.140625" style="0" hidden="1" customWidth="1" outlineLevel="1"/>
    <col min="14" max="14" width="9.140625" style="0" hidden="1" customWidth="1" outlineLevel="1"/>
    <col min="15" max="18" width="10.140625" style="0" hidden="1" customWidth="1" outlineLevel="1"/>
    <col min="19" max="19" width="9.140625" style="0" customWidth="1" collapsed="1"/>
  </cols>
  <sheetData>
    <row r="1" spans="1:14" ht="75" customHeight="1" thickBot="1">
      <c r="A1" s="237" t="s">
        <v>246</v>
      </c>
      <c r="B1" s="238"/>
      <c r="C1" s="238"/>
      <c r="D1" s="238"/>
      <c r="E1" s="238"/>
      <c r="F1" s="8"/>
      <c r="G1" s="8"/>
      <c r="H1" s="1"/>
      <c r="I1" s="1"/>
      <c r="J1" s="1"/>
      <c r="K1" s="1"/>
      <c r="L1" s="1"/>
      <c r="M1" s="1"/>
      <c r="N1" s="1"/>
    </row>
    <row r="2" spans="1:18" ht="25.5" customHeight="1" thickBot="1">
      <c r="A2" s="239" t="s">
        <v>0</v>
      </c>
      <c r="B2" s="240"/>
      <c r="C2" s="20" t="s">
        <v>1</v>
      </c>
      <c r="D2" s="20" t="s">
        <v>2</v>
      </c>
      <c r="E2" s="21" t="s">
        <v>3</v>
      </c>
      <c r="F2" s="14"/>
      <c r="G2" s="14"/>
      <c r="M2" s="1"/>
      <c r="N2" s="50"/>
      <c r="O2" s="66" t="s">
        <v>115</v>
      </c>
      <c r="P2" s="66" t="s">
        <v>116</v>
      </c>
      <c r="Q2" s="67" t="s">
        <v>109</v>
      </c>
      <c r="R2" s="67" t="s">
        <v>110</v>
      </c>
    </row>
    <row r="3" spans="1:18" ht="15">
      <c r="A3" s="69">
        <v>1</v>
      </c>
      <c r="B3" s="191" t="s">
        <v>16</v>
      </c>
      <c r="C3" s="192" t="s">
        <v>8</v>
      </c>
      <c r="D3" s="22">
        <v>200</v>
      </c>
      <c r="E3" s="23" t="s">
        <v>4</v>
      </c>
      <c r="F3" s="15"/>
      <c r="G3" s="15"/>
      <c r="M3" s="1"/>
      <c r="N3" s="65" t="s">
        <v>93</v>
      </c>
      <c r="O3" s="64"/>
      <c r="P3" s="68">
        <f>D3/D14</f>
        <v>102.04081632653062</v>
      </c>
      <c r="Q3" s="64" t="s">
        <v>89</v>
      </c>
      <c r="R3" s="64" t="s">
        <v>111</v>
      </c>
    </row>
    <row r="4" spans="1:18" ht="15">
      <c r="A4" s="70">
        <v>2</v>
      </c>
      <c r="B4" s="193" t="s">
        <v>17</v>
      </c>
      <c r="C4" s="194" t="s">
        <v>19</v>
      </c>
      <c r="D4" s="9">
        <v>65</v>
      </c>
      <c r="E4" s="10" t="s">
        <v>4</v>
      </c>
      <c r="F4" s="15"/>
      <c r="G4" s="15"/>
      <c r="M4" s="1"/>
      <c r="N4" s="65" t="s">
        <v>92</v>
      </c>
      <c r="O4" s="64"/>
      <c r="P4" s="68">
        <f>D4/D14</f>
        <v>33.16326530612245</v>
      </c>
      <c r="Q4" s="64" t="s">
        <v>88</v>
      </c>
      <c r="R4" s="64" t="s">
        <v>112</v>
      </c>
    </row>
    <row r="5" spans="1:18" ht="15">
      <c r="A5" s="70">
        <v>3</v>
      </c>
      <c r="B5" s="193" t="s">
        <v>18</v>
      </c>
      <c r="C5" s="194" t="s">
        <v>20</v>
      </c>
      <c r="D5" s="9">
        <v>25</v>
      </c>
      <c r="E5" s="10" t="s">
        <v>4</v>
      </c>
      <c r="F5" s="15"/>
      <c r="G5" s="15"/>
      <c r="M5" s="1"/>
      <c r="N5" s="65" t="s">
        <v>90</v>
      </c>
      <c r="O5" s="64"/>
      <c r="P5" s="68">
        <f>D5/D14</f>
        <v>12.755102040816327</v>
      </c>
      <c r="Q5" s="64" t="s">
        <v>85</v>
      </c>
      <c r="R5" s="64" t="s">
        <v>114</v>
      </c>
    </row>
    <row r="6" spans="1:18" ht="15">
      <c r="A6" s="70">
        <v>4</v>
      </c>
      <c r="B6" s="193" t="s">
        <v>21</v>
      </c>
      <c r="C6" s="194" t="s">
        <v>132</v>
      </c>
      <c r="D6" s="13">
        <v>3</v>
      </c>
      <c r="E6" s="10" t="s">
        <v>4</v>
      </c>
      <c r="F6" s="15"/>
      <c r="G6" s="15"/>
      <c r="M6" s="1"/>
      <c r="N6" s="183" t="s">
        <v>91</v>
      </c>
      <c r="O6" s="184" t="s">
        <v>87</v>
      </c>
      <c r="P6" s="185">
        <f>D5/D4</f>
        <v>0.38461538461538464</v>
      </c>
      <c r="Q6" s="184" t="s">
        <v>86</v>
      </c>
      <c r="R6" s="184" t="s">
        <v>113</v>
      </c>
    </row>
    <row r="7" spans="1:18" ht="15.75">
      <c r="A7" s="72">
        <v>5</v>
      </c>
      <c r="B7" s="195" t="s">
        <v>124</v>
      </c>
      <c r="C7" s="196" t="s">
        <v>130</v>
      </c>
      <c r="D7" s="91">
        <v>2</v>
      </c>
      <c r="E7" s="6" t="s">
        <v>4</v>
      </c>
      <c r="F7" s="15"/>
      <c r="G7" s="15"/>
      <c r="M7" s="1"/>
      <c r="N7" s="182" t="s">
        <v>125</v>
      </c>
      <c r="O7" s="186"/>
      <c r="P7" s="187">
        <f>D6/D14</f>
        <v>1.530612244897959</v>
      </c>
      <c r="Q7" s="186" t="s">
        <v>126</v>
      </c>
      <c r="R7" s="186"/>
    </row>
    <row r="8" spans="1:18" ht="16.5" thickBot="1">
      <c r="A8" s="71">
        <v>6</v>
      </c>
      <c r="B8" s="197" t="s">
        <v>133</v>
      </c>
      <c r="C8" s="198" t="s">
        <v>131</v>
      </c>
      <c r="D8" s="24">
        <v>0.04</v>
      </c>
      <c r="E8" s="25" t="s">
        <v>4</v>
      </c>
      <c r="F8" s="15"/>
      <c r="G8" s="15"/>
      <c r="M8" s="1"/>
      <c r="N8" s="182" t="s">
        <v>241</v>
      </c>
      <c r="O8" s="186"/>
      <c r="P8" s="188">
        <f>D6/D16</f>
        <v>0.015151515151515152</v>
      </c>
      <c r="Q8" s="186" t="s">
        <v>127</v>
      </c>
      <c r="R8" s="186"/>
    </row>
    <row r="9" spans="1:18" ht="16.5" customHeight="1">
      <c r="A9" s="93">
        <v>7</v>
      </c>
      <c r="B9" s="199" t="s">
        <v>9</v>
      </c>
      <c r="C9" s="200" t="s">
        <v>10</v>
      </c>
      <c r="D9" s="94">
        <v>210000</v>
      </c>
      <c r="E9" s="95" t="s">
        <v>11</v>
      </c>
      <c r="F9" s="15"/>
      <c r="G9" s="15"/>
      <c r="M9" s="1"/>
      <c r="N9" s="182" t="s">
        <v>242</v>
      </c>
      <c r="O9" s="186"/>
      <c r="P9" s="188">
        <f>D6/D17</f>
        <v>0.047619047619047616</v>
      </c>
      <c r="Q9" s="186" t="s">
        <v>127</v>
      </c>
      <c r="R9" s="186"/>
    </row>
    <row r="10" spans="1:18" ht="15">
      <c r="A10" s="72">
        <v>8</v>
      </c>
      <c r="B10" s="193" t="s">
        <v>12</v>
      </c>
      <c r="C10" s="196" t="s">
        <v>13</v>
      </c>
      <c r="D10" s="12">
        <v>0.3</v>
      </c>
      <c r="E10" s="10" t="s">
        <v>5</v>
      </c>
      <c r="F10" s="15"/>
      <c r="G10" s="15"/>
      <c r="M10" s="1"/>
      <c r="N10" s="182" t="s">
        <v>243</v>
      </c>
      <c r="O10" s="186"/>
      <c r="P10" s="188">
        <f>D6/D18</f>
        <v>0.125</v>
      </c>
      <c r="Q10" s="186" t="s">
        <v>127</v>
      </c>
      <c r="R10" s="186"/>
    </row>
    <row r="11" spans="1:17" ht="16.5" customHeight="1">
      <c r="A11" s="70">
        <v>9</v>
      </c>
      <c r="B11" s="193" t="s">
        <v>14</v>
      </c>
      <c r="C11" s="194" t="s">
        <v>227</v>
      </c>
      <c r="D11" s="11">
        <v>350</v>
      </c>
      <c r="E11" s="6" t="s">
        <v>11</v>
      </c>
      <c r="F11" s="15"/>
      <c r="G11" s="15"/>
      <c r="M11" s="1"/>
      <c r="N11" s="189" t="s">
        <v>255</v>
      </c>
      <c r="O11" s="1"/>
      <c r="P11" s="1"/>
      <c r="Q11" s="86"/>
    </row>
    <row r="12" spans="1:14" ht="16.5" customHeight="1" thickBot="1">
      <c r="A12" s="71">
        <v>10</v>
      </c>
      <c r="B12" s="197" t="s">
        <v>58</v>
      </c>
      <c r="C12" s="198" t="s">
        <v>25</v>
      </c>
      <c r="D12" s="96">
        <v>1</v>
      </c>
      <c r="E12" s="25" t="s">
        <v>5</v>
      </c>
      <c r="F12" s="15"/>
      <c r="G12" s="15"/>
      <c r="M12" s="1"/>
      <c r="N12" s="190" t="s">
        <v>244</v>
      </c>
    </row>
    <row r="13" spans="1:14" ht="26.25" thickBot="1">
      <c r="A13" s="241" t="s">
        <v>51</v>
      </c>
      <c r="B13" s="242"/>
      <c r="C13" s="90" t="s">
        <v>1</v>
      </c>
      <c r="D13" s="90" t="s">
        <v>2</v>
      </c>
      <c r="E13" s="92" t="s">
        <v>3</v>
      </c>
      <c r="F13" s="215"/>
      <c r="G13" s="14"/>
      <c r="M13" s="1"/>
      <c r="N13" s="1"/>
    </row>
    <row r="14" spans="1:14" ht="15.75" hidden="1" outlineLevel="1" thickBot="1">
      <c r="A14" s="79">
        <v>11</v>
      </c>
      <c r="B14" s="206" t="s">
        <v>211</v>
      </c>
      <c r="C14" s="207" t="s">
        <v>6</v>
      </c>
      <c r="D14" s="97">
        <f>D7-D8</f>
        <v>1.96</v>
      </c>
      <c r="E14" s="36" t="s">
        <v>4</v>
      </c>
      <c r="F14" s="215"/>
      <c r="G14" s="14"/>
      <c r="M14" s="1"/>
      <c r="N14" s="1"/>
    </row>
    <row r="15" spans="1:14" ht="15.75" hidden="1" outlineLevel="1" thickBot="1">
      <c r="A15" s="73">
        <v>12</v>
      </c>
      <c r="B15" s="208" t="s">
        <v>260</v>
      </c>
      <c r="C15" s="209" t="s">
        <v>15</v>
      </c>
      <c r="D15" s="27">
        <f>(235/D11)^0.5</f>
        <v>0.8194074514114278</v>
      </c>
      <c r="E15" s="28" t="s">
        <v>5</v>
      </c>
      <c r="F15" s="16"/>
      <c r="G15" s="16"/>
      <c r="M15" s="1"/>
      <c r="N15" s="1"/>
    </row>
    <row r="16" spans="1:14" ht="16.5" customHeight="1" hidden="1" outlineLevel="1">
      <c r="A16" s="75">
        <v>13</v>
      </c>
      <c r="B16" s="210" t="s">
        <v>22</v>
      </c>
      <c r="C16" s="211" t="s">
        <v>214</v>
      </c>
      <c r="D16" s="29">
        <f>D3-D7</f>
        <v>198</v>
      </c>
      <c r="E16" s="26" t="s">
        <v>4</v>
      </c>
      <c r="F16" s="16"/>
      <c r="G16" s="16"/>
      <c r="M16" s="1"/>
      <c r="N16" s="1"/>
    </row>
    <row r="17" spans="1:14" ht="16.5" customHeight="1" hidden="1" outlineLevel="1">
      <c r="A17" s="76">
        <v>14</v>
      </c>
      <c r="B17" s="85" t="s">
        <v>23</v>
      </c>
      <c r="C17" s="212" t="s">
        <v>215</v>
      </c>
      <c r="D17" s="17">
        <f>D4-D7</f>
        <v>63</v>
      </c>
      <c r="E17" s="7" t="s">
        <v>4</v>
      </c>
      <c r="F17" s="16"/>
      <c r="G17" s="16"/>
      <c r="H17" s="55"/>
      <c r="I17" s="1"/>
      <c r="J17" s="1"/>
      <c r="K17" s="1"/>
      <c r="L17" s="1"/>
      <c r="M17" s="1"/>
      <c r="N17" s="1"/>
    </row>
    <row r="18" spans="1:14" ht="16.5" customHeight="1" hidden="1" outlineLevel="1" thickBot="1">
      <c r="A18" s="77">
        <v>15</v>
      </c>
      <c r="B18" s="213" t="s">
        <v>24</v>
      </c>
      <c r="C18" s="214" t="s">
        <v>216</v>
      </c>
      <c r="D18" s="31">
        <f>D5-D7/2</f>
        <v>24</v>
      </c>
      <c r="E18" s="32" t="s">
        <v>4</v>
      </c>
      <c r="F18" s="16"/>
      <c r="G18" s="16"/>
      <c r="H18" s="55"/>
      <c r="I18" s="1"/>
      <c r="J18" s="1"/>
      <c r="K18" s="1"/>
      <c r="L18" s="1"/>
      <c r="M18" s="1"/>
      <c r="N18" s="1"/>
    </row>
    <row r="19" spans="1:14" ht="16.5" customHeight="1" hidden="1" outlineLevel="1" thickBot="1">
      <c r="A19" s="75">
        <v>16</v>
      </c>
      <c r="B19" s="210" t="s">
        <v>134</v>
      </c>
      <c r="C19" s="211" t="s">
        <v>26</v>
      </c>
      <c r="D19" s="87">
        <f>0.43*4*D6/(D16+2*D17+2*D18)</f>
        <v>0.013870967741935485</v>
      </c>
      <c r="E19" s="26" t="s">
        <v>5</v>
      </c>
      <c r="F19" s="16"/>
      <c r="G19" s="236"/>
      <c r="H19" s="55"/>
      <c r="I19" s="1"/>
      <c r="J19" s="1"/>
      <c r="K19" s="1"/>
      <c r="L19" s="1"/>
      <c r="M19" s="1"/>
      <c r="N19" s="1"/>
    </row>
    <row r="20" spans="1:14" ht="16.5" customHeight="1" collapsed="1" thickBot="1">
      <c r="A20" s="82">
        <v>17</v>
      </c>
      <c r="B20" s="43" t="s">
        <v>29</v>
      </c>
      <c r="C20" s="243" t="str">
        <f>IF(AND(D3/D7&lt;=500,D4/D7&lt;=60,D5/D4&lt;=0.6,D5/D4&gt;=0.2,D5/D7&lt;=50),"Проходит по EN 1993-1-3","Не проходит по EN1993-1-3")</f>
        <v>Проходит по EN 1993-1-3</v>
      </c>
      <c r="D20" s="244"/>
      <c r="E20" s="245"/>
      <c r="F20" s="78"/>
      <c r="G20" s="78"/>
      <c r="H20" s="1"/>
      <c r="I20" s="1"/>
      <c r="J20" s="1"/>
      <c r="K20" s="1"/>
      <c r="L20" s="1"/>
      <c r="M20" s="1"/>
      <c r="N20" s="1"/>
    </row>
    <row r="21" spans="1:14" ht="16.5" customHeight="1">
      <c r="A21" s="80">
        <v>18</v>
      </c>
      <c r="B21" s="201" t="s">
        <v>52</v>
      </c>
      <c r="C21" s="202" t="s">
        <v>49</v>
      </c>
      <c r="D21" s="62">
        <f>D113*100</f>
        <v>716.0410719442465</v>
      </c>
      <c r="E21" s="44" t="s">
        <v>47</v>
      </c>
      <c r="F21" s="61"/>
      <c r="G21" s="61"/>
      <c r="H21" s="1"/>
      <c r="I21" s="1"/>
      <c r="J21" s="1"/>
      <c r="K21" s="1"/>
      <c r="L21" s="1"/>
      <c r="M21" s="1"/>
      <c r="N21" s="1"/>
    </row>
    <row r="22" spans="1:8" ht="16.5" customHeight="1">
      <c r="A22" s="81">
        <v>19</v>
      </c>
      <c r="B22" s="203" t="s">
        <v>53</v>
      </c>
      <c r="C22" s="204" t="s">
        <v>225</v>
      </c>
      <c r="D22" s="63">
        <f>D118*10000</f>
        <v>4276498.898091357</v>
      </c>
      <c r="E22" s="4" t="s">
        <v>55</v>
      </c>
      <c r="F22" s="61"/>
      <c r="G22" s="61"/>
      <c r="H22" s="1"/>
    </row>
    <row r="23" spans="1:8" ht="16.5" customHeight="1" thickBot="1">
      <c r="A23" s="163">
        <v>20</v>
      </c>
      <c r="B23" s="84" t="s">
        <v>54</v>
      </c>
      <c r="C23" s="205" t="s">
        <v>226</v>
      </c>
      <c r="D23" s="164">
        <f>D120*1000</f>
        <v>42764.98898091357</v>
      </c>
      <c r="E23" s="46" t="s">
        <v>56</v>
      </c>
      <c r="F23" s="61"/>
      <c r="G23" s="61"/>
      <c r="H23" s="1"/>
    </row>
    <row r="24" spans="1:18" ht="16.5" customHeight="1" hidden="1" outlineLevel="1">
      <c r="A24" s="76">
        <v>21</v>
      </c>
      <c r="B24" s="85" t="s">
        <v>59</v>
      </c>
      <c r="C24" s="212" t="s">
        <v>30</v>
      </c>
      <c r="D24" s="19">
        <v>1</v>
      </c>
      <c r="E24" s="7" t="s">
        <v>5</v>
      </c>
      <c r="F24" s="16"/>
      <c r="G24" s="16"/>
      <c r="H24" s="58"/>
      <c r="I24" s="161"/>
      <c r="J24" s="161"/>
      <c r="K24" s="161"/>
      <c r="L24" s="170"/>
      <c r="M24" s="58"/>
      <c r="N24" s="58"/>
      <c r="O24" s="171"/>
      <c r="P24" s="171"/>
      <c r="Q24" s="171"/>
      <c r="R24" s="171"/>
    </row>
    <row r="25" spans="1:18" ht="16.5" customHeight="1" hidden="1" outlineLevel="1">
      <c r="A25" s="76">
        <v>22</v>
      </c>
      <c r="B25" s="85" t="s">
        <v>60</v>
      </c>
      <c r="C25" s="212" t="s">
        <v>31</v>
      </c>
      <c r="D25" s="19">
        <v>1</v>
      </c>
      <c r="E25" s="7" t="s">
        <v>5</v>
      </c>
      <c r="F25" s="16"/>
      <c r="G25" s="16"/>
      <c r="H25" s="58"/>
      <c r="I25" s="161"/>
      <c r="J25" s="161"/>
      <c r="K25" s="161"/>
      <c r="L25" s="170"/>
      <c r="M25" s="58"/>
      <c r="N25" s="58"/>
      <c r="O25" s="171"/>
      <c r="P25" s="171"/>
      <c r="Q25" s="171"/>
      <c r="R25" s="171"/>
    </row>
    <row r="26" spans="1:18" ht="16.5" customHeight="1" hidden="1" outlineLevel="1">
      <c r="A26" s="76">
        <v>23</v>
      </c>
      <c r="B26" s="85" t="s">
        <v>63</v>
      </c>
      <c r="C26" s="212" t="s">
        <v>32</v>
      </c>
      <c r="D26" s="19">
        <v>4</v>
      </c>
      <c r="E26" s="7" t="s">
        <v>5</v>
      </c>
      <c r="F26" s="16"/>
      <c r="G26" s="16"/>
      <c r="H26" s="58"/>
      <c r="I26" s="161"/>
      <c r="J26" s="161"/>
      <c r="K26" s="161"/>
      <c r="L26" s="170"/>
      <c r="M26" s="58"/>
      <c r="N26" s="58"/>
      <c r="O26" s="171"/>
      <c r="P26" s="171"/>
      <c r="Q26" s="171"/>
      <c r="R26" s="171"/>
    </row>
    <row r="27" spans="1:18" ht="16.5" customHeight="1" hidden="1" outlineLevel="1">
      <c r="A27" s="76">
        <v>24</v>
      </c>
      <c r="B27" s="85" t="s">
        <v>64</v>
      </c>
      <c r="C27" s="212" t="s">
        <v>33</v>
      </c>
      <c r="D27" s="19">
        <v>4</v>
      </c>
      <c r="E27" s="7" t="s">
        <v>5</v>
      </c>
      <c r="F27" s="16"/>
      <c r="G27" s="16"/>
      <c r="H27" s="58"/>
      <c r="I27" s="161"/>
      <c r="J27" s="161"/>
      <c r="K27" s="161"/>
      <c r="L27" s="170"/>
      <c r="M27" s="58"/>
      <c r="N27" s="58"/>
      <c r="O27" s="171"/>
      <c r="P27" s="171"/>
      <c r="Q27" s="171"/>
      <c r="R27" s="171"/>
    </row>
    <row r="28" spans="1:18" ht="16.5" customHeight="1" hidden="1" outlineLevel="1">
      <c r="A28" s="76">
        <v>25</v>
      </c>
      <c r="B28" s="85" t="s">
        <v>65</v>
      </c>
      <c r="C28" s="212" t="s">
        <v>34</v>
      </c>
      <c r="D28" s="17">
        <f>IF(AND(D18/D17&lt;=0.6,D18/D17&gt;0.35),0.5+0.83*(D18/D17-0.35)^(2/3),IF(D18/D17&lt;=0.35,0.5,"Ошибка!!!"))</f>
        <v>0.5818227616689675</v>
      </c>
      <c r="E28" s="7" t="s">
        <v>5</v>
      </c>
      <c r="F28" s="16"/>
      <c r="G28" s="16"/>
      <c r="H28" s="170"/>
      <c r="I28" s="246" t="s">
        <v>103</v>
      </c>
      <c r="J28" s="246"/>
      <c r="K28" s="246"/>
      <c r="L28" s="246"/>
      <c r="M28" s="58"/>
      <c r="N28" s="58"/>
      <c r="O28" s="250" t="s">
        <v>104</v>
      </c>
      <c r="P28" s="250"/>
      <c r="Q28" s="250"/>
      <c r="R28" s="250"/>
    </row>
    <row r="29" spans="1:18" ht="16.5" customHeight="1" hidden="1" outlineLevel="1">
      <c r="A29" s="76">
        <v>26</v>
      </c>
      <c r="B29" s="85" t="s">
        <v>57</v>
      </c>
      <c r="C29" s="219" t="s">
        <v>35</v>
      </c>
      <c r="D29" s="17">
        <f>D16/D14/28.4/D15/D26^0.5</f>
        <v>2.1705054178724303</v>
      </c>
      <c r="E29" s="7" t="s">
        <v>5</v>
      </c>
      <c r="F29" s="16"/>
      <c r="G29" s="16"/>
      <c r="H29" s="58"/>
      <c r="I29" s="49" t="s">
        <v>69</v>
      </c>
      <c r="J29" s="49" t="s">
        <v>70</v>
      </c>
      <c r="K29" s="49" t="s">
        <v>71</v>
      </c>
      <c r="L29" s="49" t="s">
        <v>72</v>
      </c>
      <c r="M29" s="1"/>
      <c r="N29" s="1"/>
      <c r="O29" s="172" t="s">
        <v>69</v>
      </c>
      <c r="P29" s="172" t="s">
        <v>70</v>
      </c>
      <c r="Q29" s="172" t="s">
        <v>71</v>
      </c>
      <c r="R29" s="172" t="s">
        <v>72</v>
      </c>
    </row>
    <row r="30" spans="1:19" ht="16.5" customHeight="1" hidden="1" outlineLevel="1">
      <c r="A30" s="76">
        <v>27</v>
      </c>
      <c r="B30" s="85" t="s">
        <v>61</v>
      </c>
      <c r="C30" s="219" t="s">
        <v>36</v>
      </c>
      <c r="D30" s="17">
        <f>D17/D14/28.4/D15/D27^0.5</f>
        <v>0.690615360232137</v>
      </c>
      <c r="E30" s="7" t="s">
        <v>5</v>
      </c>
      <c r="F30" s="16"/>
      <c r="G30" s="16"/>
      <c r="H30" s="37" t="s">
        <v>73</v>
      </c>
      <c r="I30" s="52">
        <f>$D$30*D45^0.5</f>
        <v>0.6244968776950507</v>
      </c>
      <c r="J30" s="160">
        <f>$D$30*I45^0.5</f>
        <v>0.6242042537644309</v>
      </c>
      <c r="K30" s="160">
        <f>$D$30*J45^0.5</f>
        <v>0.6242042537644309</v>
      </c>
      <c r="L30" s="160">
        <f>$D$30*K45^0.5</f>
        <v>0.6242042537644309</v>
      </c>
      <c r="M30" s="55"/>
      <c r="N30" s="37" t="s">
        <v>73</v>
      </c>
      <c r="O30" s="38">
        <f>$D$30*D56^0.5</f>
        <v>0.6439815043559961</v>
      </c>
      <c r="P30" s="165">
        <f>$D$30*O56^0.5</f>
        <v>0.6437308541633251</v>
      </c>
      <c r="Q30" s="165">
        <f>$D$30*P56^0.5</f>
        <v>0.6437308541633251</v>
      </c>
      <c r="R30" s="165">
        <f>$D$30*Q56^0.5</f>
        <v>0.6437308541633251</v>
      </c>
      <c r="S30" s="234"/>
    </row>
    <row r="31" spans="1:19" ht="16.5" customHeight="1" hidden="1" outlineLevel="1">
      <c r="A31" s="76">
        <v>28</v>
      </c>
      <c r="B31" s="85" t="s">
        <v>62</v>
      </c>
      <c r="C31" s="219" t="s">
        <v>37</v>
      </c>
      <c r="D31" s="17">
        <f>D18/D14/28.4/D15/D28^0.5</f>
        <v>0.6898291902013</v>
      </c>
      <c r="E31" s="7" t="s">
        <v>5</v>
      </c>
      <c r="F31" s="16"/>
      <c r="G31" s="16"/>
      <c r="H31" s="37" t="s">
        <v>74</v>
      </c>
      <c r="I31" s="52">
        <f>$D$31*D45^0.5</f>
        <v>0.6237859744081181</v>
      </c>
      <c r="J31" s="160">
        <f>$D$31*I45^0.5</f>
        <v>0.6234936835893545</v>
      </c>
      <c r="K31" s="160">
        <f>$D$31*J45^0.5</f>
        <v>0.6234936835893545</v>
      </c>
      <c r="L31" s="160">
        <f>$D$31*K45^0.5</f>
        <v>0.6234936835893545</v>
      </c>
      <c r="M31" s="55"/>
      <c r="N31" s="37" t="s">
        <v>74</v>
      </c>
      <c r="O31" s="38">
        <f>$D$31*D56^0.5</f>
        <v>0.6432484205175946</v>
      </c>
      <c r="P31" s="165">
        <f>$D$31*O56^0.5</f>
        <v>0.6429980556554868</v>
      </c>
      <c r="Q31" s="165">
        <f>$D$31*P56^0.5</f>
        <v>0.6429980556554868</v>
      </c>
      <c r="R31" s="165">
        <f>$D$31*Q56^0.5</f>
        <v>0.6429980556554868</v>
      </c>
      <c r="S31" s="234"/>
    </row>
    <row r="32" spans="1:19" ht="16.5" customHeight="1" hidden="1" outlineLevel="1">
      <c r="A32" s="76">
        <v>29</v>
      </c>
      <c r="B32" s="85" t="s">
        <v>66</v>
      </c>
      <c r="C32" s="219" t="s">
        <v>38</v>
      </c>
      <c r="D32" s="17">
        <f>IF((D29-0.055*(3+D24))/D29^2&lt;1,(D29-0.055*(3+D24))/D29^2,1)</f>
        <v>0.4140239005008882</v>
      </c>
      <c r="E32" s="7" t="s">
        <v>5</v>
      </c>
      <c r="F32" s="16"/>
      <c r="G32" s="16"/>
      <c r="H32" s="41"/>
      <c r="I32" s="39"/>
      <c r="J32" s="53"/>
      <c r="K32" s="53"/>
      <c r="L32" s="54"/>
      <c r="M32" s="55"/>
      <c r="N32" s="41"/>
      <c r="O32" s="57"/>
      <c r="P32" s="57"/>
      <c r="Q32" s="57"/>
      <c r="R32" s="57"/>
      <c r="S32" s="56"/>
    </row>
    <row r="33" spans="1:19" ht="16.5" customHeight="1" hidden="1" outlineLevel="1">
      <c r="A33" s="76">
        <v>30</v>
      </c>
      <c r="B33" s="85" t="s">
        <v>67</v>
      </c>
      <c r="C33" s="219" t="s">
        <v>39</v>
      </c>
      <c r="D33" s="17">
        <f>IF((D30-0.055*(3+D25))/D30^2&lt;1,(D30-0.055*(3+D25))/D30^2,1)</f>
        <v>0.9867193181879769</v>
      </c>
      <c r="E33" s="7" t="s">
        <v>5</v>
      </c>
      <c r="F33" s="16"/>
      <c r="G33" s="16"/>
      <c r="H33" s="37" t="s">
        <v>76</v>
      </c>
      <c r="I33" s="38">
        <f>IF((I30-0.055*(3+$D$25))/I30^2&lt;1,(I30-0.055*(3+$D$25))/I30^2,1)</f>
        <v>1</v>
      </c>
      <c r="J33" s="38">
        <f>IF((J30-0.055*(3+$D$25))/J30^2&lt;1,(J30-0.055*(3+$D$25))/J30^2,1)</f>
        <v>1</v>
      </c>
      <c r="K33" s="38">
        <f>IF((K30-0.055*(3+$D$25))/K30^2&lt;1,(K30-0.055*(3+$D$25))/K30^2,1)</f>
        <v>1</v>
      </c>
      <c r="L33" s="38">
        <f>IF((L30-0.055*(3+$D$25))/L30^2&lt;1,(L30-0.055*(3+$D$25))/L30^2,1)</f>
        <v>1</v>
      </c>
      <c r="M33" s="55"/>
      <c r="N33" s="37" t="s">
        <v>76</v>
      </c>
      <c r="O33" s="38">
        <f>IF((O30-0.055*(3+$D$25))/O30^2&lt;1,(O30-0.055*(3+$D$25))/O30^2,1)</f>
        <v>1</v>
      </c>
      <c r="P33" s="38">
        <f>IF((P30-0.055*(3+$D$25))/P30^2&lt;1,(P30-0.055*(3+$D$25))/P30^2,1)</f>
        <v>1</v>
      </c>
      <c r="Q33" s="38">
        <f>IF((Q30-0.055*(3+$D$25))/Q30^2&lt;1,(Q30-0.055*(3+$D$25))/Q30^2,1)</f>
        <v>1</v>
      </c>
      <c r="R33" s="38">
        <f>IF((R30-0.055*(3+$D$25))/R30^2&lt;1,(R30-0.055*(3+$D$25))/R30^2,1)</f>
        <v>1</v>
      </c>
      <c r="S33" s="56"/>
    </row>
    <row r="34" spans="1:19" ht="16.5" customHeight="1" hidden="1" outlineLevel="1">
      <c r="A34" s="76">
        <v>31</v>
      </c>
      <c r="B34" s="85" t="s">
        <v>68</v>
      </c>
      <c r="C34" s="219" t="s">
        <v>40</v>
      </c>
      <c r="D34" s="17">
        <f>IF((1-0.188/D31)/D31&lt;1,(1-0.188/D31)/D31,1)</f>
        <v>1</v>
      </c>
      <c r="E34" s="7" t="s">
        <v>5</v>
      </c>
      <c r="F34" s="16"/>
      <c r="G34" s="16"/>
      <c r="H34" s="37" t="s">
        <v>77</v>
      </c>
      <c r="I34" s="38">
        <f>IF((1-0.188/I31)/I31&lt;1,(1-0.188/I31)/I31,1)</f>
        <v>1</v>
      </c>
      <c r="J34" s="38">
        <f>IF((1-0.188/J31)/J31&lt;1,(1-0.188/J31)/J31,1)</f>
        <v>1</v>
      </c>
      <c r="K34" s="38">
        <f>IF((1-0.188/K31)/K31&lt;1,(1-0.188/K31)/K31,1)</f>
        <v>1</v>
      </c>
      <c r="L34" s="38">
        <f>IF((1-0.188/L31)/L31&lt;1,(1-0.188/L31)/L31,1)</f>
        <v>1</v>
      </c>
      <c r="M34" s="55"/>
      <c r="N34" s="37" t="s">
        <v>77</v>
      </c>
      <c r="O34" s="38">
        <f>IF((1-0.188/O31)/O31&lt;1,(1-0.188/O31)/O31,1)</f>
        <v>1</v>
      </c>
      <c r="P34" s="38">
        <f>IF((1-0.188/P31)/P31&lt;1,(1-0.188/P31)/P31,1)</f>
        <v>1</v>
      </c>
      <c r="Q34" s="38">
        <f>IF((1-0.188/Q31)/Q31&lt;1,(1-0.188/Q31)/Q31,1)</f>
        <v>1</v>
      </c>
      <c r="R34" s="38">
        <f>IF((1-0.188/R31)/R31&lt;1,(1-0.188/R31)/R31,1)</f>
        <v>1</v>
      </c>
      <c r="S34" s="56"/>
    </row>
    <row r="35" spans="1:19" ht="16.5" customHeight="1" hidden="1" outlineLevel="1">
      <c r="A35" s="76">
        <v>32</v>
      </c>
      <c r="B35" s="85" t="s">
        <v>122</v>
      </c>
      <c r="C35" s="212" t="s">
        <v>41</v>
      </c>
      <c r="D35" s="17">
        <f>0.5*D32*D16</f>
        <v>40.98836614958793</v>
      </c>
      <c r="E35" s="7" t="s">
        <v>4</v>
      </c>
      <c r="F35" s="16"/>
      <c r="G35" s="16"/>
      <c r="H35" s="41"/>
      <c r="I35" s="39"/>
      <c r="J35" s="39"/>
      <c r="K35" s="39"/>
      <c r="L35" s="40"/>
      <c r="M35" s="55"/>
      <c r="N35" s="41"/>
      <c r="O35" s="57"/>
      <c r="P35" s="57"/>
      <c r="Q35" s="57"/>
      <c r="R35" s="57"/>
      <c r="S35" s="56"/>
    </row>
    <row r="36" spans="1:19" ht="16.5" customHeight="1" hidden="1" outlineLevel="1">
      <c r="A36" s="76">
        <v>33</v>
      </c>
      <c r="B36" s="85" t="s">
        <v>123</v>
      </c>
      <c r="C36" s="212" t="s">
        <v>50</v>
      </c>
      <c r="D36" s="17">
        <f>0.5*D33*D17</f>
        <v>31.08165852292127</v>
      </c>
      <c r="E36" s="7" t="s">
        <v>4</v>
      </c>
      <c r="F36" s="16"/>
      <c r="G36" s="16"/>
      <c r="H36" s="48" t="s">
        <v>75</v>
      </c>
      <c r="I36" s="38">
        <f>0.5*I33*$D$17</f>
        <v>31.5</v>
      </c>
      <c r="J36" s="38">
        <f>0.5*J33*$D$17</f>
        <v>31.5</v>
      </c>
      <c r="K36" s="38">
        <f>0.5*K33*$D$17</f>
        <v>31.5</v>
      </c>
      <c r="L36" s="38">
        <f>0.5*L33*$D$17</f>
        <v>31.5</v>
      </c>
      <c r="M36" s="55"/>
      <c r="N36" s="48" t="s">
        <v>75</v>
      </c>
      <c r="O36" s="38">
        <f>0.5*O33*$D$17</f>
        <v>31.5</v>
      </c>
      <c r="P36" s="38">
        <f>0.5*P33*$D$17</f>
        <v>31.5</v>
      </c>
      <c r="Q36" s="38">
        <f>0.5*Q33*$D$17</f>
        <v>31.5</v>
      </c>
      <c r="R36" s="38">
        <f>0.5*R33*$D$17</f>
        <v>31.5</v>
      </c>
      <c r="S36" s="56"/>
    </row>
    <row r="37" spans="1:19" ht="16.5" customHeight="1" hidden="1" outlineLevel="1">
      <c r="A37" s="76">
        <v>34</v>
      </c>
      <c r="B37" s="85" t="s">
        <v>44</v>
      </c>
      <c r="C37" s="212" t="s">
        <v>42</v>
      </c>
      <c r="D37" s="17">
        <f>D34*D18</f>
        <v>24</v>
      </c>
      <c r="E37" s="7" t="s">
        <v>4</v>
      </c>
      <c r="F37" s="16"/>
      <c r="G37" s="16"/>
      <c r="H37" s="33" t="s">
        <v>78</v>
      </c>
      <c r="I37" s="38">
        <f>I34*$D$18</f>
        <v>24</v>
      </c>
      <c r="J37" s="38">
        <f>J34*$D$18</f>
        <v>24</v>
      </c>
      <c r="K37" s="38">
        <f>K34*$D$18</f>
        <v>24</v>
      </c>
      <c r="L37" s="38">
        <f>L34*$D$18</f>
        <v>24</v>
      </c>
      <c r="M37" s="55"/>
      <c r="N37" s="33" t="s">
        <v>78</v>
      </c>
      <c r="O37" s="38">
        <f>O34*$D$18</f>
        <v>24</v>
      </c>
      <c r="P37" s="38">
        <f>P34*$D$18</f>
        <v>24</v>
      </c>
      <c r="Q37" s="38">
        <f>Q34*$D$18</f>
        <v>24</v>
      </c>
      <c r="R37" s="38">
        <f>R34*$D$18</f>
        <v>24</v>
      </c>
      <c r="S37" s="56"/>
    </row>
    <row r="38" spans="1:19" ht="16.5" customHeight="1" hidden="1" outlineLevel="1">
      <c r="A38" s="76">
        <v>35</v>
      </c>
      <c r="B38" s="85" t="s">
        <v>232</v>
      </c>
      <c r="C38" s="212" t="s">
        <v>261</v>
      </c>
      <c r="D38" s="17">
        <f>D14*(D36+D37)</f>
        <v>107.96005070492569</v>
      </c>
      <c r="E38" s="7" t="s">
        <v>27</v>
      </c>
      <c r="F38" s="16"/>
      <c r="G38" s="16"/>
      <c r="H38" s="2" t="s">
        <v>262</v>
      </c>
      <c r="I38" s="38">
        <f>$D$14*(I36+I37)</f>
        <v>108.78</v>
      </c>
      <c r="J38" s="38">
        <f>$D$14*(J36+J37)</f>
        <v>108.78</v>
      </c>
      <c r="K38" s="38">
        <f>$D$14*(K36+K37)</f>
        <v>108.78</v>
      </c>
      <c r="L38" s="38">
        <f>$D$14*(L36+L37)</f>
        <v>108.78</v>
      </c>
      <c r="M38" s="267"/>
      <c r="N38" s="33" t="s">
        <v>262</v>
      </c>
      <c r="O38" s="38">
        <f>$D$14*(O36+O37)</f>
        <v>108.78</v>
      </c>
      <c r="P38" s="38">
        <f>$D$14*(P36+P37)</f>
        <v>108.78</v>
      </c>
      <c r="Q38" s="38">
        <f>$D$14*(Q36+Q37)</f>
        <v>108.78</v>
      </c>
      <c r="R38" s="38">
        <f>$D$14*(R36+R37)</f>
        <v>108.78</v>
      </c>
      <c r="S38" s="56"/>
    </row>
    <row r="39" spans="1:19" ht="16.5" customHeight="1" hidden="1" outlineLevel="1">
      <c r="A39" s="76">
        <v>36</v>
      </c>
      <c r="B39" s="85" t="s">
        <v>218</v>
      </c>
      <c r="C39" s="207" t="s">
        <v>217</v>
      </c>
      <c r="D39" s="17">
        <f>D17-D36*D14*D36/2/D38</f>
        <v>54.23057000785959</v>
      </c>
      <c r="E39" s="7" t="s">
        <v>4</v>
      </c>
      <c r="F39" s="16"/>
      <c r="G39" s="16"/>
      <c r="H39" s="2" t="s">
        <v>220</v>
      </c>
      <c r="I39" s="38">
        <f>$D$17-I36*$D$14*I36/2/I38</f>
        <v>54.06081081081081</v>
      </c>
      <c r="J39" s="38">
        <f>$D$17-J36*$D$14*J36/2/J38</f>
        <v>54.06081081081081</v>
      </c>
      <c r="K39" s="38">
        <f>$D$17-K36*$D$14*K36/2/K38</f>
        <v>54.06081081081081</v>
      </c>
      <c r="L39" s="38">
        <f>$D$17-L36*$D$14*L36/2/L38</f>
        <v>54.06081081081081</v>
      </c>
      <c r="M39" s="55"/>
      <c r="N39" s="2" t="s">
        <v>220</v>
      </c>
      <c r="O39" s="38">
        <f>$D$17-O36*$D$14*O36/2/O38</f>
        <v>54.06081081081081</v>
      </c>
      <c r="P39" s="38">
        <f>$D$17-P36*$D$14*P36/2/P38</f>
        <v>54.06081081081081</v>
      </c>
      <c r="Q39" s="38">
        <f>$D$17-Q36*$D$14*Q36/2/Q38</f>
        <v>54.06081081081081</v>
      </c>
      <c r="R39" s="38">
        <f>$D$17-R36*$D$14*R36/2/R38</f>
        <v>54.06081081081081</v>
      </c>
      <c r="S39" s="56"/>
    </row>
    <row r="40" spans="1:19" ht="16.5" customHeight="1" hidden="1" outlineLevel="1">
      <c r="A40" s="76">
        <v>37</v>
      </c>
      <c r="B40" s="85" t="s">
        <v>235</v>
      </c>
      <c r="C40" s="212" t="s">
        <v>212</v>
      </c>
      <c r="D40" s="17">
        <f>D36*D14^3/12+D14*D37^3/12+D37*D14*(D37/2-(D37^2/2/(D36+D37)))^2+D36*D14*(D37^2/2/(D36+D37))^2</f>
        <v>6099.741998444884</v>
      </c>
      <c r="E40" s="7" t="s">
        <v>28</v>
      </c>
      <c r="F40" s="16"/>
      <c r="G40" s="16"/>
      <c r="H40" s="2" t="s">
        <v>221</v>
      </c>
      <c r="I40" s="38">
        <f>I36*$D$14^3/12+$D$14*I37^3/12+I37*$D$14*(I37/2-(I37^2/2/(I36+I37)))^2+I36*$D$14*(I37^2/2/(I36+I37))^2</f>
        <v>6122.251518486486</v>
      </c>
      <c r="J40" s="38">
        <f>J36*$D$14^3/12+$D$14*J37^3/12+J37*$D$14*(J37/2-(J37^2/2/(J36+J37)))^2+J36*$D$14*(J37^2/2/(J36+J37))^2</f>
        <v>6122.251518486486</v>
      </c>
      <c r="K40" s="38">
        <f>K36*$D$14^3/12+$D$14*K37^3/12+K37*$D$14*(K37/2-(K37^2/2/(K36+K37)))^2+K36*$D$14*(K37^2/2/(K36+K37))^2</f>
        <v>6122.251518486486</v>
      </c>
      <c r="L40" s="38">
        <f>L36*$D$14^3/12+$D$14*L37^3/12+L37*$D$14*(L37/2-(L37^2/2/(L36+L37)))^2+L36*$D$14*(L37^2/2/(L36+L37))^2</f>
        <v>6122.251518486486</v>
      </c>
      <c r="M40" s="55"/>
      <c r="N40" s="33" t="s">
        <v>221</v>
      </c>
      <c r="O40" s="38">
        <f>O36*$D$14^3/12+$D$14*O37^3/12+O37*$D$14*(O37/2-(O37^2/2/(O36+O37)))^2+O36*$D$14*(O37^2/2/(O36+O37))^2</f>
        <v>6122.251518486486</v>
      </c>
      <c r="P40" s="38">
        <f>P36*$D$14^3/12+$D$14*P37^3/12+P37*$D$14*(P37/2-(P37^2/2/(P36+P37)))^2+P36*$D$14*(P37^2/2/(P36+P37))^2</f>
        <v>6122.251518486486</v>
      </c>
      <c r="Q40" s="38">
        <f>Q36*$D$14^3/12+$D$14*Q37^3/12+Q37*$D$14*(Q37/2-(Q37^2/2/(Q36+Q37)))^2+Q36*$D$14*(Q37^2/2/(Q36+Q37))^2</f>
        <v>6122.251518486486</v>
      </c>
      <c r="R40" s="38">
        <f>R36*$D$14^3/12+$D$14*R37^3/12+R37*$D$14*(R37/2-(R37^2/2/(R36+R37)))^2+R36*$D$14*(R37^2/2/(R36+R37))^2</f>
        <v>6122.251518486486</v>
      </c>
      <c r="S40" s="56"/>
    </row>
    <row r="41" spans="1:19" ht="16.5" customHeight="1" hidden="1" outlineLevel="1">
      <c r="A41" s="76">
        <v>38</v>
      </c>
      <c r="B41" s="220" t="s">
        <v>98</v>
      </c>
      <c r="C41" s="212" t="s">
        <v>97</v>
      </c>
      <c r="D41" s="19">
        <v>1</v>
      </c>
      <c r="E41" s="7" t="s">
        <v>5</v>
      </c>
      <c r="F41" s="16"/>
      <c r="G41" s="16"/>
      <c r="H41" s="2"/>
      <c r="I41" s="39"/>
      <c r="J41" s="39"/>
      <c r="K41" s="39"/>
      <c r="L41" s="39"/>
      <c r="M41" s="55"/>
      <c r="N41" s="41"/>
      <c r="O41" s="57"/>
      <c r="P41" s="57"/>
      <c r="Q41" s="57"/>
      <c r="R41" s="57"/>
      <c r="S41" s="56"/>
    </row>
    <row r="42" spans="1:19" ht="16.5" customHeight="1" hidden="1" outlineLevel="1">
      <c r="A42" s="76">
        <v>39</v>
      </c>
      <c r="B42" s="220" t="s">
        <v>228</v>
      </c>
      <c r="C42" s="219" t="s">
        <v>7</v>
      </c>
      <c r="D42" s="17">
        <f>D9*D14^3/(4*(1-D10^2)*(D39^2*D16+D39^3+0.5*D39^2*D16*D41))</f>
        <v>0.42053822580673833</v>
      </c>
      <c r="E42" s="7" t="s">
        <v>11</v>
      </c>
      <c r="F42" s="16"/>
      <c r="G42" s="16"/>
      <c r="H42" s="18" t="s">
        <v>79</v>
      </c>
      <c r="I42" s="89">
        <f>$D$9*$D$14^3/(4*(1-$D$10^2)*(I39^2*$D$16+I39^3+0.5*I39^2*$D$16*$D$41))</f>
        <v>0.42338811585996394</v>
      </c>
      <c r="J42" s="89">
        <f>$D$9*$D$14^3/(4*(1-$D$10^2)*(J39^2*$D$16+J39^3+0.5*J39^2*$D$16*$D$41))</f>
        <v>0.42338811585996394</v>
      </c>
      <c r="K42" s="89">
        <f>$D$9*$D$14^3/(4*(1-$D$10^2)*(K39^2*$D$16+K39^3+0.5*K39^2*$D$16*$D$41))</f>
        <v>0.42338811585996394</v>
      </c>
      <c r="L42" s="89">
        <f>$D$9*$D$14^3/(4*(1-$D$10^2)*(L39^2*$D$16+L39^3+0.5*L39^2*$D$16*$D$41))</f>
        <v>0.42338811585996394</v>
      </c>
      <c r="M42" s="55"/>
      <c r="N42" s="41"/>
      <c r="O42" s="57"/>
      <c r="P42" s="57"/>
      <c r="Q42" s="57"/>
      <c r="R42" s="57"/>
      <c r="S42" s="56"/>
    </row>
    <row r="43" spans="1:19" ht="16.5" customHeight="1" hidden="1" outlineLevel="1">
      <c r="A43" s="76">
        <v>40</v>
      </c>
      <c r="B43" s="220" t="s">
        <v>233</v>
      </c>
      <c r="C43" s="212" t="s">
        <v>83</v>
      </c>
      <c r="D43" s="17">
        <f>2*(D42*D9*D40)^0.5/D38</f>
        <v>429.9669114080583</v>
      </c>
      <c r="E43" s="7" t="s">
        <v>11</v>
      </c>
      <c r="F43" s="16"/>
      <c r="G43" s="16"/>
      <c r="H43" s="2" t="s">
        <v>84</v>
      </c>
      <c r="I43" s="38">
        <f>2*(I42*$D$9*I40)^0.5/I38</f>
        <v>428.95872338579966</v>
      </c>
      <c r="J43" s="38">
        <f>2*(J42*$D$9*J40)^0.5/J38</f>
        <v>428.95872338579966</v>
      </c>
      <c r="K43" s="38">
        <f>2*(K42*$D$9*K40)^0.5/K38</f>
        <v>428.95872338579966</v>
      </c>
      <c r="L43" s="38">
        <f>2*(L42*$D$9*L40)^0.5/L38</f>
        <v>428.95872338579966</v>
      </c>
      <c r="M43" s="55"/>
      <c r="N43" s="41"/>
      <c r="O43" s="57"/>
      <c r="P43" s="57"/>
      <c r="Q43" s="57"/>
      <c r="R43" s="57"/>
      <c r="S43" s="56"/>
    </row>
    <row r="44" spans="1:19" ht="16.5" customHeight="1" hidden="1" outlineLevel="1">
      <c r="A44" s="76">
        <v>41</v>
      </c>
      <c r="B44" s="220" t="s">
        <v>237</v>
      </c>
      <c r="C44" s="219" t="s">
        <v>45</v>
      </c>
      <c r="D44" s="17">
        <f>(D11/D43)^0.5</f>
        <v>0.90222842289917</v>
      </c>
      <c r="E44" s="7" t="s">
        <v>5</v>
      </c>
      <c r="F44" s="16"/>
      <c r="G44" s="16"/>
      <c r="H44" s="18" t="s">
        <v>80</v>
      </c>
      <c r="I44" s="38">
        <f>($D$11/I43)^0.5</f>
        <v>0.9032880610368267</v>
      </c>
      <c r="J44" s="38">
        <f>($D$11/J43)^0.5</f>
        <v>0.9032880610368267</v>
      </c>
      <c r="K44" s="38">
        <f>($D$11/K43)^0.5</f>
        <v>0.9032880610368267</v>
      </c>
      <c r="L44" s="38">
        <f>($D$11/L43)^0.5</f>
        <v>0.9032880610368267</v>
      </c>
      <c r="M44" s="55"/>
      <c r="N44" s="41"/>
      <c r="O44" s="57"/>
      <c r="P44" s="57"/>
      <c r="Q44" s="57"/>
      <c r="R44" s="57"/>
      <c r="S44" s="56"/>
    </row>
    <row r="45" spans="1:19" ht="16.5" customHeight="1" hidden="1" outlineLevel="1">
      <c r="A45" s="76">
        <v>42</v>
      </c>
      <c r="B45" s="228" t="s">
        <v>236</v>
      </c>
      <c r="C45" s="223" t="s">
        <v>252</v>
      </c>
      <c r="D45" s="224">
        <f>IF(AND(D44&gt;0.65,D44&lt;1.38),1.47-0.723*D44,IF(D44&gt;=1.38,0.66/D44,1))</f>
        <v>0.8176888502439</v>
      </c>
      <c r="E45" s="225" t="s">
        <v>5</v>
      </c>
      <c r="F45" s="51"/>
      <c r="G45" s="51"/>
      <c r="H45" s="226" t="s">
        <v>254</v>
      </c>
      <c r="I45" s="227">
        <f>IF(AND(I44&gt;0.65,I44&lt;1.38),1.47-0.723*I44,IF(I44&gt;=1.38,0.66/I44,1))</f>
        <v>0.8169227318703743</v>
      </c>
      <c r="J45" s="227">
        <f>IF(AND(J44&gt;0.65,J44&lt;1.38),1.47-0.723*J44,IF(J44&gt;=1.38,0.66/J44,1))</f>
        <v>0.8169227318703743</v>
      </c>
      <c r="K45" s="227">
        <f>IF(AND(K44&gt;0.65,K44&lt;1.38),1.47-0.723*K44,IF(K44&gt;=1.38,0.66/K44,1))</f>
        <v>0.8169227318703743</v>
      </c>
      <c r="L45" s="227">
        <f>IF(AND(L44&gt;0.65,L44&lt;1.38),1.47-0.723*L44,IF(L44&gt;=1.38,0.66/L44,1))</f>
        <v>0.8169227318703743</v>
      </c>
      <c r="M45" s="55"/>
      <c r="N45" s="41"/>
      <c r="O45" s="57"/>
      <c r="P45" s="57"/>
      <c r="Q45" s="57"/>
      <c r="R45" s="57"/>
      <c r="S45" s="56"/>
    </row>
    <row r="46" spans="1:19" ht="16.5" customHeight="1" hidden="1" outlineLevel="1">
      <c r="A46" s="76">
        <v>43</v>
      </c>
      <c r="B46" s="228" t="s">
        <v>239</v>
      </c>
      <c r="C46" s="223" t="s">
        <v>253</v>
      </c>
      <c r="D46" s="224">
        <f>IF(L45&lt;=K45,L45,IF(K45&lt;=J45,K45,IF(J45&lt;=I45,J45,IF(I45&lt;=D45,I45,D45))))</f>
        <v>0.8169227318703743</v>
      </c>
      <c r="E46" s="225" t="s">
        <v>5</v>
      </c>
      <c r="F46" s="51"/>
      <c r="G46" s="51"/>
      <c r="H46" s="180" t="s">
        <v>223</v>
      </c>
      <c r="I46" s="167"/>
      <c r="J46" s="167"/>
      <c r="K46" s="167"/>
      <c r="L46" s="167"/>
      <c r="M46" s="55"/>
      <c r="N46" s="41"/>
      <c r="O46" s="57"/>
      <c r="P46" s="57"/>
      <c r="Q46" s="57"/>
      <c r="R46" s="57"/>
      <c r="S46" s="56"/>
    </row>
    <row r="47" spans="1:19" ht="16.5" customHeight="1" hidden="1" outlineLevel="1">
      <c r="A47" s="76">
        <v>44</v>
      </c>
      <c r="B47" s="85" t="s">
        <v>230</v>
      </c>
      <c r="C47" s="212" t="s">
        <v>46</v>
      </c>
      <c r="D47" s="166">
        <f>D14*D46</f>
        <v>1.6011685544659338</v>
      </c>
      <c r="E47" s="7" t="s">
        <v>4</v>
      </c>
      <c r="F47" s="16"/>
      <c r="G47" s="16"/>
      <c r="H47" s="181" t="s">
        <v>222</v>
      </c>
      <c r="I47" s="168"/>
      <c r="J47" s="168"/>
      <c r="K47" s="168"/>
      <c r="L47" s="168"/>
      <c r="M47" s="55"/>
      <c r="N47" s="41"/>
      <c r="O47" s="57"/>
      <c r="P47" s="57"/>
      <c r="Q47" s="57"/>
      <c r="R47" s="57"/>
      <c r="S47" s="56"/>
    </row>
    <row r="48" spans="1:19" ht="16.5" customHeight="1" hidden="1" outlineLevel="1" thickBot="1">
      <c r="A48" s="79">
        <v>45</v>
      </c>
      <c r="B48" s="206" t="s">
        <v>248</v>
      </c>
      <c r="C48" s="207" t="s">
        <v>81</v>
      </c>
      <c r="D48" s="97">
        <f>D14*(2*D36+2*D35)+2*D47*(D36+D37)</f>
        <v>458.9045358257001</v>
      </c>
      <c r="E48" s="36" t="s">
        <v>27</v>
      </c>
      <c r="F48" s="16"/>
      <c r="G48" s="235"/>
      <c r="H48" s="16"/>
      <c r="I48" s="169"/>
      <c r="J48" s="169"/>
      <c r="K48" s="169"/>
      <c r="L48" s="169"/>
      <c r="M48" s="55"/>
      <c r="N48" s="41"/>
      <c r="O48" s="57"/>
      <c r="P48" s="57"/>
      <c r="Q48" s="57"/>
      <c r="R48" s="57"/>
      <c r="S48" s="56"/>
    </row>
    <row r="49" spans="1:19" ht="16.5" customHeight="1" collapsed="1">
      <c r="A49" s="42">
        <v>46</v>
      </c>
      <c r="B49" s="201" t="s">
        <v>257</v>
      </c>
      <c r="C49" s="202" t="s">
        <v>82</v>
      </c>
      <c r="D49" s="62">
        <f>D48*(1-D19)</f>
        <v>452.5390858126339</v>
      </c>
      <c r="E49" s="44" t="s">
        <v>47</v>
      </c>
      <c r="F49" s="61"/>
      <c r="G49" s="61"/>
      <c r="I49" s="161"/>
      <c r="J49" s="161"/>
      <c r="K49" s="161"/>
      <c r="L49" s="161"/>
      <c r="M49" s="1"/>
      <c r="N49" s="41"/>
      <c r="O49" s="57"/>
      <c r="P49" s="57"/>
      <c r="Q49" s="57"/>
      <c r="R49" s="57"/>
      <c r="S49" s="56"/>
    </row>
    <row r="50" spans="1:19" ht="16.5" customHeight="1" thickBot="1">
      <c r="A50" s="45">
        <v>47</v>
      </c>
      <c r="B50" s="84" t="s">
        <v>121</v>
      </c>
      <c r="C50" s="205" t="s">
        <v>119</v>
      </c>
      <c r="D50" s="83">
        <f>D49/D21</f>
        <v>0.6320015758088667</v>
      </c>
      <c r="E50" s="46" t="s">
        <v>5</v>
      </c>
      <c r="F50" s="61"/>
      <c r="G50" s="61"/>
      <c r="I50" s="162"/>
      <c r="J50" s="162"/>
      <c r="K50" s="162"/>
      <c r="L50" s="162"/>
      <c r="M50" s="1"/>
      <c r="N50" s="41"/>
      <c r="O50" s="57"/>
      <c r="P50" s="57"/>
      <c r="Q50" s="57"/>
      <c r="R50" s="57"/>
      <c r="S50" s="56"/>
    </row>
    <row r="51" spans="1:19" ht="16.5" customHeight="1" thickBot="1">
      <c r="A51" s="155">
        <v>48</v>
      </c>
      <c r="B51" s="217" t="s">
        <v>107</v>
      </c>
      <c r="C51" s="218" t="s">
        <v>117</v>
      </c>
      <c r="D51" s="158">
        <f>D11*D49/D12</f>
        <v>158388.68003442188</v>
      </c>
      <c r="E51" s="159" t="s">
        <v>48</v>
      </c>
      <c r="F51" s="61"/>
      <c r="G51" s="61"/>
      <c r="I51" s="58"/>
      <c r="J51" s="58"/>
      <c r="K51" s="58"/>
      <c r="L51" s="58"/>
      <c r="M51" s="1"/>
      <c r="N51" s="41"/>
      <c r="O51" s="57"/>
      <c r="P51" s="57"/>
      <c r="Q51" s="57"/>
      <c r="R51" s="57"/>
      <c r="S51" s="56"/>
    </row>
    <row r="52" spans="1:19" ht="16.5" hidden="1" outlineLevel="1">
      <c r="A52" s="74">
        <v>49</v>
      </c>
      <c r="B52" s="221" t="s">
        <v>224</v>
      </c>
      <c r="C52" s="229" t="s">
        <v>97</v>
      </c>
      <c r="D52" s="35">
        <v>0</v>
      </c>
      <c r="E52" s="30" t="s">
        <v>5</v>
      </c>
      <c r="F52" s="16"/>
      <c r="G52" s="16"/>
      <c r="H52" s="56"/>
      <c r="N52" s="57"/>
      <c r="O52" s="57"/>
      <c r="P52" s="57"/>
      <c r="Q52" s="57"/>
      <c r="R52" s="57"/>
      <c r="S52" s="56"/>
    </row>
    <row r="53" spans="1:19" ht="16.5" hidden="1" outlineLevel="1">
      <c r="A53" s="75">
        <v>50</v>
      </c>
      <c r="B53" s="222" t="s">
        <v>229</v>
      </c>
      <c r="C53" s="230" t="s">
        <v>7</v>
      </c>
      <c r="D53" s="87">
        <f>D9*D14^3/(4*(1-D10^2)*((D17-D36*D14*D36/2/D38)^2*D16+(D17-D36*D14*D36/2/D38)^3+0.5*(D17-D36*D14*D36/2/D38)^2*D16*D52))</f>
        <v>0.5855986479180224</v>
      </c>
      <c r="E53" s="26" t="s">
        <v>11</v>
      </c>
      <c r="F53" s="16"/>
      <c r="G53" s="16"/>
      <c r="H53" s="56"/>
      <c r="N53" s="37" t="s">
        <v>105</v>
      </c>
      <c r="O53" s="88">
        <f>$D$9*$D$14^3/(4*(1-$D$10^2)*(O39^2*$D$16+O39^3+0.5*O39^2*$D$16*$D$52))</f>
        <v>0.5896790332592453</v>
      </c>
      <c r="P53" s="88">
        <f>$D$9*$D$14^3/(4*(1-$D$10^2)*(P39^2*$D$16+P39^3+0.5*P39^2*$D$16*$D$52))</f>
        <v>0.5896790332592453</v>
      </c>
      <c r="Q53" s="88">
        <f>$D$9*$D$14^3/(4*(1-$D$10^2)*(Q39^2*$D$16+Q39^3+0.5*Q39^2*$D$16*$D$52))</f>
        <v>0.5896790332592453</v>
      </c>
      <c r="R53" s="88">
        <f>$D$9*$D$14^3/(4*(1-$D$10^2)*(R39^2*$D$16+R39^3+0.5*R39^2*$D$16*$D$52))</f>
        <v>0.5896790332592453</v>
      </c>
      <c r="S53" s="56"/>
    </row>
    <row r="54" spans="1:19" ht="16.5" hidden="1" outlineLevel="1">
      <c r="A54" s="76">
        <v>51</v>
      </c>
      <c r="B54" s="220" t="s">
        <v>234</v>
      </c>
      <c r="C54" s="212" t="s">
        <v>83</v>
      </c>
      <c r="D54" s="17">
        <f>2*(D53*$D$9*D40)^0.5/D38</f>
        <v>507.3788138464585</v>
      </c>
      <c r="E54" s="7" t="s">
        <v>11</v>
      </c>
      <c r="F54" s="16"/>
      <c r="G54" s="16"/>
      <c r="H54" s="56"/>
      <c r="N54" s="33" t="s">
        <v>84</v>
      </c>
      <c r="O54" s="17">
        <f>2*(O53*$D$9*O40)^0.5/O38</f>
        <v>506.23715343141265</v>
      </c>
      <c r="P54" s="17">
        <f>2*(P53*$D$9*P40)^0.5/P38</f>
        <v>506.23715343141265</v>
      </c>
      <c r="Q54" s="17">
        <f>2*(Q53*$D$9*Q40)^0.5/Q38</f>
        <v>506.23715343141265</v>
      </c>
      <c r="R54" s="17">
        <f>2*(R53*$D$9*R40)^0.5/R38</f>
        <v>506.23715343141265</v>
      </c>
      <c r="S54" s="56"/>
    </row>
    <row r="55" spans="1:19" ht="16.5" hidden="1" outlineLevel="1">
      <c r="A55" s="76">
        <v>52</v>
      </c>
      <c r="B55" s="220" t="s">
        <v>238</v>
      </c>
      <c r="C55" s="219" t="s">
        <v>45</v>
      </c>
      <c r="D55" s="17">
        <f>($D$11/D54)^0.5</f>
        <v>0.8305539686360675</v>
      </c>
      <c r="E55" s="7" t="s">
        <v>5</v>
      </c>
      <c r="F55" s="16"/>
      <c r="G55" s="16"/>
      <c r="N55" s="37" t="s">
        <v>80</v>
      </c>
      <c r="O55" s="17">
        <f>($D$11/O54)^0.5</f>
        <v>0.8314899692689607</v>
      </c>
      <c r="P55" s="17">
        <f>($D$11/P54)^0.5</f>
        <v>0.8314899692689607</v>
      </c>
      <c r="Q55" s="17">
        <f>($D$11/Q54)^0.5</f>
        <v>0.8314899692689607</v>
      </c>
      <c r="R55" s="17">
        <f>($D$11/R54)^0.5</f>
        <v>0.8314899692689607</v>
      </c>
      <c r="S55" s="56"/>
    </row>
    <row r="56" spans="1:19" ht="16.5" hidden="1" outlineLevel="1">
      <c r="A56" s="76">
        <v>53</v>
      </c>
      <c r="B56" s="228" t="s">
        <v>236</v>
      </c>
      <c r="C56" s="223" t="s">
        <v>252</v>
      </c>
      <c r="D56" s="224">
        <f>IF(AND(D55&gt;0.65,D55&lt;1.38),1.47-0.723*D55,IF(D55&gt;=1.38,0.66/D55,1))</f>
        <v>0.8695094806761232</v>
      </c>
      <c r="E56" s="225" t="s">
        <v>5</v>
      </c>
      <c r="F56" s="51"/>
      <c r="G56" s="51"/>
      <c r="N56" s="226" t="s">
        <v>254</v>
      </c>
      <c r="O56" s="224">
        <f>IF(AND(O55&gt;0.65,O55&lt;1.38),1.47-0.723*O55,IF(O55&gt;=1.38,0.66/O55,1))</f>
        <v>0.8688327522185414</v>
      </c>
      <c r="P56" s="224">
        <f>IF(AND(P55&gt;0.65,P55&lt;1.38),1.47-0.723*P55,IF(P55&gt;=1.38,0.66/P55,1))</f>
        <v>0.8688327522185414</v>
      </c>
      <c r="Q56" s="224">
        <f>IF(AND(Q55&gt;0.65,Q55&lt;1.38),1.47-0.723*Q55,IF(Q55&gt;=1.38,0.66/Q55,1))</f>
        <v>0.8688327522185414</v>
      </c>
      <c r="R56" s="224">
        <f>IF(AND(R55&gt;0.65,R55&lt;1.38),1.47-0.723*R55,IF(R55&gt;=1.38,0.66/R55,1))</f>
        <v>0.8688327522185414</v>
      </c>
      <c r="S56" s="56"/>
    </row>
    <row r="57" spans="1:18" ht="16.5" hidden="1" outlineLevel="1">
      <c r="A57" s="76">
        <v>54</v>
      </c>
      <c r="B57" s="228" t="s">
        <v>239</v>
      </c>
      <c r="C57" s="223" t="s">
        <v>253</v>
      </c>
      <c r="D57" s="224">
        <f>IF(R56&lt;=Q56,R56,IF(Q56&lt;=P56,Q56,IF(P56&lt;=O56,P56,IF(O56&lt;=D56,O56,D56))))</f>
        <v>0.8688327522185414</v>
      </c>
      <c r="E57" s="225" t="s">
        <v>5</v>
      </c>
      <c r="F57" s="51"/>
      <c r="G57" s="51"/>
      <c r="N57" s="180" t="s">
        <v>223</v>
      </c>
      <c r="O57" s="179"/>
      <c r="P57" s="179"/>
      <c r="Q57" s="179"/>
      <c r="R57" s="179"/>
    </row>
    <row r="58" spans="1:18" ht="16.5" hidden="1" outlineLevel="1">
      <c r="A58" s="76">
        <v>55</v>
      </c>
      <c r="B58" s="85" t="s">
        <v>231</v>
      </c>
      <c r="C58" s="212" t="s">
        <v>46</v>
      </c>
      <c r="D58" s="17">
        <f>D57*D14</f>
        <v>1.7029121943483412</v>
      </c>
      <c r="E58" s="7" t="s">
        <v>4</v>
      </c>
      <c r="F58" s="16"/>
      <c r="G58" s="16"/>
      <c r="N58" s="181" t="s">
        <v>222</v>
      </c>
      <c r="O58" s="173"/>
      <c r="P58" s="173"/>
      <c r="Q58" s="173"/>
      <c r="R58" s="173"/>
    </row>
    <row r="59" spans="1:18" ht="15" hidden="1" outlineLevel="1">
      <c r="A59" s="75">
        <v>56</v>
      </c>
      <c r="B59" s="232" t="s">
        <v>129</v>
      </c>
      <c r="C59" s="233" t="s">
        <v>240</v>
      </c>
      <c r="D59" s="29">
        <f>(D18*(D16-D18/2)+D17*D16+D16^2/2+D37^2*D57/2)/(D16+D17+D18+D36+(D36+D37)*D57)</f>
        <v>101.08914880941778</v>
      </c>
      <c r="E59" s="26" t="s">
        <v>4</v>
      </c>
      <c r="F59" s="16"/>
      <c r="G59" s="16"/>
      <c r="N59" s="16"/>
      <c r="O59" s="173"/>
      <c r="P59" s="173"/>
      <c r="Q59" s="173"/>
      <c r="R59" s="173"/>
    </row>
    <row r="60" spans="1:18" ht="16.5" hidden="1" outlineLevel="1">
      <c r="A60" s="76">
        <v>57</v>
      </c>
      <c r="B60" s="85" t="s">
        <v>59</v>
      </c>
      <c r="C60" s="212" t="s">
        <v>30</v>
      </c>
      <c r="D60" s="17">
        <f>(D59-D16)/D59</f>
        <v>-0.9586671995160148</v>
      </c>
      <c r="E60" s="7" t="s">
        <v>5</v>
      </c>
      <c r="F60" s="16"/>
      <c r="G60" s="16"/>
      <c r="N60" s="16"/>
      <c r="O60" s="173"/>
      <c r="P60" s="173"/>
      <c r="Q60" s="173"/>
      <c r="R60" s="173"/>
    </row>
    <row r="61" spans="1:18" ht="16.5" hidden="1" outlineLevel="1">
      <c r="A61" s="76">
        <v>58</v>
      </c>
      <c r="B61" s="85" t="s">
        <v>63</v>
      </c>
      <c r="C61" s="212" t="s">
        <v>32</v>
      </c>
      <c r="D61" s="154">
        <f>7.81-6.29*D60+9.78*D60^2</f>
        <v>22.828255263360383</v>
      </c>
      <c r="E61" s="7" t="s">
        <v>5</v>
      </c>
      <c r="F61" s="16"/>
      <c r="G61" s="16"/>
      <c r="N61" s="16"/>
      <c r="O61" s="173"/>
      <c r="P61" s="173"/>
      <c r="Q61" s="173"/>
      <c r="R61" s="173"/>
    </row>
    <row r="62" spans="1:18" ht="16.5" hidden="1" outlineLevel="1">
      <c r="A62" s="76">
        <v>59</v>
      </c>
      <c r="B62" s="85" t="s">
        <v>57</v>
      </c>
      <c r="C62" s="219" t="s">
        <v>35</v>
      </c>
      <c r="D62" s="17">
        <f>D16/D14/28.4/D15/D61^0.5</f>
        <v>0.9085618766624389</v>
      </c>
      <c r="E62" s="7" t="s">
        <v>5</v>
      </c>
      <c r="F62" s="16"/>
      <c r="G62" s="16"/>
      <c r="N62" s="16"/>
      <c r="O62" s="173"/>
      <c r="P62" s="173"/>
      <c r="Q62" s="173"/>
      <c r="R62" s="173"/>
    </row>
    <row r="63" spans="1:18" ht="16.5" hidden="1" outlineLevel="1">
      <c r="A63" s="76">
        <v>60</v>
      </c>
      <c r="B63" s="85" t="s">
        <v>66</v>
      </c>
      <c r="C63" s="219" t="s">
        <v>38</v>
      </c>
      <c r="D63" s="17">
        <f>IF((D62-0.055*(3+D60))/D62^2&lt;1,(D62-0.055*(3+D60))/D62^2,1)</f>
        <v>0.9646315532387253</v>
      </c>
      <c r="E63" s="7" t="s">
        <v>5</v>
      </c>
      <c r="F63" s="16"/>
      <c r="G63" s="16"/>
      <c r="N63" s="16"/>
      <c r="O63" s="173"/>
      <c r="P63" s="173"/>
      <c r="Q63" s="173"/>
      <c r="R63" s="173"/>
    </row>
    <row r="64" spans="1:18" ht="16.5" hidden="1" outlineLevel="1">
      <c r="A64" s="76">
        <v>61</v>
      </c>
      <c r="B64" s="85" t="s">
        <v>43</v>
      </c>
      <c r="C64" s="212" t="s">
        <v>94</v>
      </c>
      <c r="D64" s="17">
        <f>D63*D59</f>
        <v>97.5137826316093</v>
      </c>
      <c r="E64" s="7" t="s">
        <v>4</v>
      </c>
      <c r="F64" s="16"/>
      <c r="G64" s="16"/>
      <c r="N64" s="16"/>
      <c r="O64" s="173"/>
      <c r="P64" s="173"/>
      <c r="Q64" s="173"/>
      <c r="R64" s="173"/>
    </row>
    <row r="65" spans="1:18" ht="16.5" hidden="1" outlineLevel="1">
      <c r="A65" s="76">
        <v>62</v>
      </c>
      <c r="B65" s="85" t="s">
        <v>99</v>
      </c>
      <c r="C65" s="212" t="s">
        <v>95</v>
      </c>
      <c r="D65" s="17">
        <f>0.4*D64</f>
        <v>39.00551305264372</v>
      </c>
      <c r="E65" s="7" t="s">
        <v>4</v>
      </c>
      <c r="F65" s="16"/>
      <c r="G65" s="16"/>
      <c r="N65" s="16"/>
      <c r="O65" s="173"/>
      <c r="P65" s="173"/>
      <c r="Q65" s="173"/>
      <c r="R65" s="173"/>
    </row>
    <row r="66" spans="1:18" ht="16.5" hidden="1" outlineLevel="1">
      <c r="A66" s="76">
        <v>63</v>
      </c>
      <c r="B66" s="85" t="s">
        <v>100</v>
      </c>
      <c r="C66" s="212" t="s">
        <v>96</v>
      </c>
      <c r="D66" s="17">
        <f>D16-D59+0.6*D64</f>
        <v>155.41912076954782</v>
      </c>
      <c r="E66" s="7" t="s">
        <v>4</v>
      </c>
      <c r="F66" s="16"/>
      <c r="G66" s="16"/>
      <c r="N66" s="16"/>
      <c r="O66" s="173"/>
      <c r="P66" s="173"/>
      <c r="Q66" s="173"/>
      <c r="R66" s="173"/>
    </row>
    <row r="67" spans="1:18" ht="17.25" hidden="1" outlineLevel="1">
      <c r="A67" s="76">
        <v>64</v>
      </c>
      <c r="B67" s="85" t="s">
        <v>245</v>
      </c>
      <c r="C67" s="212" t="s">
        <v>81</v>
      </c>
      <c r="D67" s="154">
        <f>D14*(D18+D17+D65+D66+D36+(D36+D37)*D57)</f>
        <v>706.311560980035</v>
      </c>
      <c r="E67" s="7" t="s">
        <v>27</v>
      </c>
      <c r="F67" s="16"/>
      <c r="G67" s="16"/>
      <c r="N67" s="174"/>
      <c r="O67" s="175"/>
      <c r="P67" s="175"/>
      <c r="Q67" s="175"/>
      <c r="R67" s="175"/>
    </row>
    <row r="68" spans="1:18" ht="16.5" hidden="1" outlineLevel="1">
      <c r="A68" s="76">
        <v>65</v>
      </c>
      <c r="B68" s="85" t="s">
        <v>213</v>
      </c>
      <c r="C68" s="212" t="s">
        <v>249</v>
      </c>
      <c r="D68" s="60">
        <f>D14*(D18*(D16-D18/2)+D17*D16+D66*(D16-D66/2)+D65^2/2+D37^2*D57/2)/D67</f>
        <v>101.68737916356274</v>
      </c>
      <c r="E68" s="7" t="s">
        <v>4</v>
      </c>
      <c r="F68" s="16"/>
      <c r="G68" s="16"/>
      <c r="N68" s="176"/>
      <c r="O68" s="177"/>
      <c r="P68" s="177"/>
      <c r="Q68" s="177"/>
      <c r="R68" s="177"/>
    </row>
    <row r="69" spans="1:18" ht="16.5" hidden="1" outlineLevel="1">
      <c r="A69" s="76">
        <v>66</v>
      </c>
      <c r="B69" s="85" t="s">
        <v>128</v>
      </c>
      <c r="C69" s="212" t="s">
        <v>250</v>
      </c>
      <c r="D69" s="60">
        <f>$D$16-D68</f>
        <v>96.31262083643726</v>
      </c>
      <c r="E69" s="7" t="s">
        <v>4</v>
      </c>
      <c r="F69" s="16"/>
      <c r="G69" s="16"/>
      <c r="N69" s="176"/>
      <c r="O69" s="177"/>
      <c r="P69" s="177"/>
      <c r="Q69" s="177"/>
      <c r="R69" s="177"/>
    </row>
    <row r="70" spans="1:18" ht="18" hidden="1" outlineLevel="1" thickBot="1">
      <c r="A70" s="76">
        <v>67</v>
      </c>
      <c r="B70" s="85" t="s">
        <v>256</v>
      </c>
      <c r="C70" s="212" t="s">
        <v>247</v>
      </c>
      <c r="D70" s="34">
        <f>D65^3*D14/12+D66^3*D14/12+D17*D14^3/12+D18^3*D14/12+D36*D14^3/12+D36*D58^3/12+D37^3*D58/12+D18*D14*(D69-D18/2)^2+D17*D14*D69^2+D66*D14*(D69-D66/2)^2+D65*D14*(D68-D65/2)^2+D36*D14*D68^2+D36*D58*D68^2+D37*D58*(D68-D37/2)^2</f>
        <v>4234753.324370088</v>
      </c>
      <c r="E70" s="7" t="s">
        <v>28</v>
      </c>
      <c r="F70" s="16"/>
      <c r="G70" s="16"/>
      <c r="N70" s="16"/>
      <c r="O70" s="173"/>
      <c r="P70" s="173"/>
      <c r="Q70" s="173"/>
      <c r="R70" s="173"/>
    </row>
    <row r="71" spans="1:18" ht="17.25" collapsed="1">
      <c r="A71" s="42">
        <v>68</v>
      </c>
      <c r="B71" s="201" t="s">
        <v>258</v>
      </c>
      <c r="C71" s="202" t="s">
        <v>106</v>
      </c>
      <c r="D71" s="231">
        <f>D70*(1-2*D19)</f>
        <v>4117273.070855305</v>
      </c>
      <c r="E71" s="44" t="s">
        <v>55</v>
      </c>
      <c r="F71" s="16"/>
      <c r="G71" s="61"/>
      <c r="N71" s="178"/>
      <c r="O71" s="178"/>
      <c r="P71" s="178"/>
      <c r="Q71" s="178"/>
      <c r="R71" s="178"/>
    </row>
    <row r="72" spans="1:18" ht="17.25">
      <c r="A72" s="3">
        <v>69</v>
      </c>
      <c r="B72" s="59" t="s">
        <v>259</v>
      </c>
      <c r="C72" s="47" t="s">
        <v>108</v>
      </c>
      <c r="D72" s="63">
        <f>D71/MAX(D68,D69)</f>
        <v>40489.51900149505</v>
      </c>
      <c r="E72" s="4" t="s">
        <v>56</v>
      </c>
      <c r="F72" s="61"/>
      <c r="G72" s="61"/>
      <c r="N72" s="178"/>
      <c r="O72" s="178"/>
      <c r="P72" s="178"/>
      <c r="Q72" s="178"/>
      <c r="R72" s="178"/>
    </row>
    <row r="73" spans="1:18" ht="17.25" thickBot="1">
      <c r="A73" s="45">
        <v>70</v>
      </c>
      <c r="B73" s="84" t="s">
        <v>120</v>
      </c>
      <c r="C73" s="5" t="s">
        <v>251</v>
      </c>
      <c r="D73" s="83">
        <f>D72/D23</f>
        <v>0.9467912880689836</v>
      </c>
      <c r="E73" s="46" t="s">
        <v>5</v>
      </c>
      <c r="F73" s="61"/>
      <c r="G73" s="61"/>
      <c r="N73" s="61"/>
      <c r="O73" s="177"/>
      <c r="P73" s="177"/>
      <c r="Q73" s="177"/>
      <c r="R73" s="177"/>
    </row>
    <row r="74" spans="1:7" ht="17.25" thickBot="1">
      <c r="A74" s="155">
        <v>71</v>
      </c>
      <c r="B74" s="156" t="s">
        <v>101</v>
      </c>
      <c r="C74" s="157" t="s">
        <v>118</v>
      </c>
      <c r="D74" s="216">
        <f>D11*D72/1000/D12</f>
        <v>14171.331650523267</v>
      </c>
      <c r="E74" s="159" t="s">
        <v>102</v>
      </c>
      <c r="F74" s="61"/>
      <c r="G74" s="61"/>
    </row>
    <row r="75" spans="1:5" ht="15.75" hidden="1" outlineLevel="1" thickBot="1">
      <c r="A75" s="251" t="s">
        <v>219</v>
      </c>
      <c r="B75" s="252"/>
      <c r="C75" s="252"/>
      <c r="D75" s="252"/>
      <c r="E75" s="253"/>
    </row>
    <row r="76" spans="1:5" ht="15.75" hidden="1" outlineLevel="1" thickBot="1">
      <c r="A76" s="254" t="s">
        <v>135</v>
      </c>
      <c r="B76" s="255"/>
      <c r="C76" s="255"/>
      <c r="D76" s="255"/>
      <c r="E76" s="256"/>
    </row>
    <row r="77" spans="1:6" ht="15" hidden="1" outlineLevel="1">
      <c r="A77" s="98">
        <v>1</v>
      </c>
      <c r="B77" s="99" t="s">
        <v>136</v>
      </c>
      <c r="C77" s="100" t="s">
        <v>137</v>
      </c>
      <c r="D77" s="101">
        <f>D3</f>
        <v>200</v>
      </c>
      <c r="E77" s="102" t="s">
        <v>4</v>
      </c>
      <c r="F77" s="56"/>
    </row>
    <row r="78" spans="1:6" ht="15" hidden="1" outlineLevel="1">
      <c r="A78" s="103">
        <v>2</v>
      </c>
      <c r="B78" s="104" t="s">
        <v>138</v>
      </c>
      <c r="C78" s="105" t="s">
        <v>139</v>
      </c>
      <c r="D78" s="106">
        <f>D4</f>
        <v>65</v>
      </c>
      <c r="E78" s="107" t="s">
        <v>4</v>
      </c>
      <c r="F78" s="56"/>
    </row>
    <row r="79" spans="1:6" ht="15" hidden="1" outlineLevel="1">
      <c r="A79" s="103">
        <v>3</v>
      </c>
      <c r="B79" s="104" t="s">
        <v>140</v>
      </c>
      <c r="C79" s="105" t="s">
        <v>141</v>
      </c>
      <c r="D79" s="108">
        <f>D14</f>
        <v>1.96</v>
      </c>
      <c r="E79" s="107" t="s">
        <v>4</v>
      </c>
      <c r="F79" s="56"/>
    </row>
    <row r="80" spans="1:6" ht="15" hidden="1" outlineLevel="1">
      <c r="A80" s="109">
        <v>4</v>
      </c>
      <c r="B80" s="110" t="s">
        <v>142</v>
      </c>
      <c r="C80" s="105" t="s">
        <v>8</v>
      </c>
      <c r="D80" s="111">
        <f>D3-2*D5</f>
        <v>150</v>
      </c>
      <c r="E80" s="107" t="s">
        <v>4</v>
      </c>
      <c r="F80" s="56"/>
    </row>
    <row r="81" spans="1:6" ht="15.75" hidden="1" outlineLevel="1" thickBot="1">
      <c r="A81" s="112">
        <v>5</v>
      </c>
      <c r="B81" s="113" t="s">
        <v>21</v>
      </c>
      <c r="C81" s="114" t="s">
        <v>143</v>
      </c>
      <c r="D81" s="115">
        <f>D6</f>
        <v>3</v>
      </c>
      <c r="E81" s="116" t="s">
        <v>4</v>
      </c>
      <c r="F81" s="56"/>
    </row>
    <row r="82" spans="1:6" ht="13.5" hidden="1" outlineLevel="1" thickBot="1">
      <c r="A82" s="247" t="s">
        <v>144</v>
      </c>
      <c r="B82" s="248"/>
      <c r="C82" s="248"/>
      <c r="D82" s="248"/>
      <c r="E82" s="249"/>
      <c r="F82" s="56"/>
    </row>
    <row r="83" spans="1:6" ht="12.75" hidden="1" outlineLevel="1">
      <c r="A83" s="117">
        <v>6</v>
      </c>
      <c r="B83" s="257" t="s">
        <v>145</v>
      </c>
      <c r="C83" s="118" t="s">
        <v>146</v>
      </c>
      <c r="D83" s="119">
        <f>D79/2</f>
        <v>0.98</v>
      </c>
      <c r="E83" s="120" t="s">
        <v>4</v>
      </c>
      <c r="F83" s="56"/>
    </row>
    <row r="84" spans="1:6" ht="12.75" hidden="1" outlineLevel="1">
      <c r="A84" s="121">
        <v>7</v>
      </c>
      <c r="B84" s="258"/>
      <c r="C84" s="122" t="s">
        <v>147</v>
      </c>
      <c r="D84" s="123">
        <f>0</f>
        <v>0</v>
      </c>
      <c r="E84" s="124" t="s">
        <v>4</v>
      </c>
      <c r="F84" s="56"/>
    </row>
    <row r="85" spans="1:6" ht="13.5" hidden="1" outlineLevel="1">
      <c r="A85" s="121">
        <v>8</v>
      </c>
      <c r="B85" s="125" t="s">
        <v>148</v>
      </c>
      <c r="C85" s="126" t="s">
        <v>149</v>
      </c>
      <c r="D85" s="127">
        <f>D79/10*(D77/10-2*D79/10-2*D81/10)</f>
        <v>3.725568</v>
      </c>
      <c r="E85" s="128" t="s">
        <v>150</v>
      </c>
      <c r="F85" s="56"/>
    </row>
    <row r="86" spans="1:6" ht="13.5" hidden="1" outlineLevel="1">
      <c r="A86" s="129">
        <v>9</v>
      </c>
      <c r="B86" s="259" t="s">
        <v>151</v>
      </c>
      <c r="C86" s="130" t="s">
        <v>152</v>
      </c>
      <c r="D86" s="131">
        <f>D85*(D77/10-2*D79/10-2*D81/10)^2/12</f>
        <v>112.17190492569598</v>
      </c>
      <c r="E86" s="128" t="s">
        <v>153</v>
      </c>
      <c r="F86" s="56"/>
    </row>
    <row r="87" spans="1:6" ht="14.25" hidden="1" outlineLevel="1" thickBot="1">
      <c r="A87" s="121">
        <v>10</v>
      </c>
      <c r="B87" s="258"/>
      <c r="C87" s="122" t="s">
        <v>154</v>
      </c>
      <c r="D87" s="123">
        <f>D85*(D79/10)^2/12</f>
        <v>0.011926785024</v>
      </c>
      <c r="E87" s="128" t="s">
        <v>155</v>
      </c>
      <c r="F87" s="56"/>
    </row>
    <row r="88" spans="1:6" ht="13.5" hidden="1" outlineLevel="1" thickBot="1">
      <c r="A88" s="247" t="s">
        <v>156</v>
      </c>
      <c r="B88" s="248"/>
      <c r="C88" s="248"/>
      <c r="D88" s="248"/>
      <c r="E88" s="249"/>
      <c r="F88" s="56"/>
    </row>
    <row r="89" spans="1:6" ht="12.75" hidden="1" outlineLevel="1">
      <c r="A89" s="117">
        <v>11</v>
      </c>
      <c r="B89" s="257" t="s">
        <v>145</v>
      </c>
      <c r="C89" s="118" t="s">
        <v>157</v>
      </c>
      <c r="D89" s="127">
        <f>D79+D81-(4*(3*D81^2+3*D81*D79+D79^2)/(6*PI()*D81+3*PI()*D79))</f>
        <v>2.3750464693453823</v>
      </c>
      <c r="E89" s="120" t="s">
        <v>4</v>
      </c>
      <c r="F89" s="56"/>
    </row>
    <row r="90" spans="1:6" ht="12.75" hidden="1" outlineLevel="1">
      <c r="A90" s="121">
        <v>12</v>
      </c>
      <c r="B90" s="258"/>
      <c r="C90" s="122" t="s">
        <v>158</v>
      </c>
      <c r="D90" s="127">
        <f>D77/2-D89</f>
        <v>97.62495353065462</v>
      </c>
      <c r="E90" s="124" t="s">
        <v>4</v>
      </c>
      <c r="F90" s="56"/>
    </row>
    <row r="91" spans="1:6" ht="13.5" hidden="1" outlineLevel="1">
      <c r="A91" s="121">
        <v>13</v>
      </c>
      <c r="B91" s="125" t="s">
        <v>148</v>
      </c>
      <c r="C91" s="126" t="s">
        <v>159</v>
      </c>
      <c r="D91" s="127">
        <f>PI()*D79/10*(2*D81/10+D79/10)/4</f>
        <v>0.1225346798606163</v>
      </c>
      <c r="E91" s="128" t="s">
        <v>150</v>
      </c>
      <c r="F91" s="56"/>
    </row>
    <row r="92" spans="1:6" ht="13.5" hidden="1" outlineLevel="1">
      <c r="A92" s="129">
        <v>14</v>
      </c>
      <c r="B92" s="259" t="s">
        <v>151</v>
      </c>
      <c r="C92" s="130" t="s">
        <v>160</v>
      </c>
      <c r="D92" s="127">
        <f>PI()*((D81/10+D79/10)^4-(D81/10)^4)/16-D91*(4*2^0.5*(3*(D81/10)^2+3*D81/10*D79/10+(D79/10)^2)/(6*PI()*D81/10+3*PI()*D79/10))^2/2</f>
        <v>0.002105654618347927</v>
      </c>
      <c r="E92" s="128" t="s">
        <v>153</v>
      </c>
      <c r="F92" s="56"/>
    </row>
    <row r="93" spans="1:6" ht="14.25" hidden="1" outlineLevel="1" thickBot="1">
      <c r="A93" s="121">
        <v>15</v>
      </c>
      <c r="B93" s="258"/>
      <c r="C93" s="122" t="s">
        <v>161</v>
      </c>
      <c r="D93" s="127">
        <f>D92</f>
        <v>0.002105654618347927</v>
      </c>
      <c r="E93" s="128" t="s">
        <v>155</v>
      </c>
      <c r="F93" s="56"/>
    </row>
    <row r="94" spans="1:6" ht="13.5" hidden="1" outlineLevel="1" thickBot="1">
      <c r="A94" s="247" t="s">
        <v>162</v>
      </c>
      <c r="B94" s="248"/>
      <c r="C94" s="248"/>
      <c r="D94" s="248"/>
      <c r="E94" s="249"/>
      <c r="F94" s="56"/>
    </row>
    <row r="95" spans="1:6" ht="12.75" hidden="1" outlineLevel="1">
      <c r="A95" s="117">
        <v>16</v>
      </c>
      <c r="B95" s="257" t="s">
        <v>145</v>
      </c>
      <c r="C95" s="118" t="s">
        <v>163</v>
      </c>
      <c r="D95" s="127">
        <f>D78/2</f>
        <v>32.5</v>
      </c>
      <c r="E95" s="120" t="s">
        <v>4</v>
      </c>
      <c r="F95" s="56"/>
    </row>
    <row r="96" spans="1:6" ht="12.75" hidden="1" outlineLevel="1">
      <c r="A96" s="121">
        <v>17</v>
      </c>
      <c r="B96" s="258"/>
      <c r="C96" s="122" t="s">
        <v>164</v>
      </c>
      <c r="D96" s="127">
        <f>(D77-D79)/2</f>
        <v>99.02</v>
      </c>
      <c r="E96" s="124" t="s">
        <v>4</v>
      </c>
      <c r="F96" s="56"/>
    </row>
    <row r="97" spans="1:6" ht="13.5" hidden="1" outlineLevel="1">
      <c r="A97" s="121">
        <v>18</v>
      </c>
      <c r="B97" s="125" t="s">
        <v>148</v>
      </c>
      <c r="C97" s="126" t="s">
        <v>165</v>
      </c>
      <c r="D97" s="127">
        <f>D79/10*(D78/10-2*D81/10-2*D79/10)</f>
        <v>1.079568</v>
      </c>
      <c r="E97" s="128" t="s">
        <v>150</v>
      </c>
      <c r="F97" s="56"/>
    </row>
    <row r="98" spans="1:6" ht="13.5" hidden="1" outlineLevel="1">
      <c r="A98" s="129">
        <v>19</v>
      </c>
      <c r="B98" s="259" t="s">
        <v>151</v>
      </c>
      <c r="C98" s="130" t="s">
        <v>166</v>
      </c>
      <c r="D98" s="127">
        <f>D97*(D79/10)^2/12</f>
        <v>0.0034560570240000006</v>
      </c>
      <c r="E98" s="128" t="s">
        <v>153</v>
      </c>
      <c r="F98" s="56"/>
    </row>
    <row r="99" spans="1:6" ht="14.25" hidden="1" outlineLevel="1" thickBot="1">
      <c r="A99" s="121">
        <v>20</v>
      </c>
      <c r="B99" s="258"/>
      <c r="C99" s="122" t="s">
        <v>167</v>
      </c>
      <c r="D99" s="127">
        <f>D97*(D78/10-2*D81/10-2*D79/10)^2/12</f>
        <v>2.7293335896960005</v>
      </c>
      <c r="E99" s="128" t="s">
        <v>155</v>
      </c>
      <c r="F99" s="56"/>
    </row>
    <row r="100" spans="1:6" ht="13.5" hidden="1" outlineLevel="1" thickBot="1">
      <c r="A100" s="247" t="s">
        <v>168</v>
      </c>
      <c r="B100" s="248"/>
      <c r="C100" s="248"/>
      <c r="D100" s="248"/>
      <c r="E100" s="249"/>
      <c r="F100" s="56"/>
    </row>
    <row r="101" spans="1:6" ht="12.75" hidden="1" outlineLevel="1">
      <c r="A101" s="117">
        <v>21</v>
      </c>
      <c r="B101" s="257" t="s">
        <v>145</v>
      </c>
      <c r="C101" s="118" t="s">
        <v>169</v>
      </c>
      <c r="D101" s="127">
        <f>D78-D79-D81+(4*2^0.5*(3*D81^2+3*D81*D79+D79^2)/(6*PI()*D81+3*PI()*D79))/2^0.5</f>
        <v>62.624953530654615</v>
      </c>
      <c r="E101" s="120" t="s">
        <v>4</v>
      </c>
      <c r="F101" s="56"/>
    </row>
    <row r="102" spans="1:6" ht="12.75" hidden="1" outlineLevel="1">
      <c r="A102" s="121">
        <v>22</v>
      </c>
      <c r="B102" s="258"/>
      <c r="C102" s="122" t="s">
        <v>170</v>
      </c>
      <c r="D102" s="127">
        <f>D90</f>
        <v>97.62495353065462</v>
      </c>
      <c r="E102" s="124" t="s">
        <v>4</v>
      </c>
      <c r="F102" s="56"/>
    </row>
    <row r="103" spans="1:6" ht="13.5" hidden="1" outlineLevel="1">
      <c r="A103" s="121">
        <v>23</v>
      </c>
      <c r="B103" s="125" t="s">
        <v>148</v>
      </c>
      <c r="C103" s="126" t="s">
        <v>171</v>
      </c>
      <c r="D103" s="127">
        <f>PI()*D79/10*(2*D81/10+D79/10)/4</f>
        <v>0.1225346798606163</v>
      </c>
      <c r="E103" s="128" t="s">
        <v>150</v>
      </c>
      <c r="F103" s="56"/>
    </row>
    <row r="104" spans="1:6" ht="13.5" hidden="1" outlineLevel="1">
      <c r="A104" s="129">
        <v>24</v>
      </c>
      <c r="B104" s="259" t="s">
        <v>151</v>
      </c>
      <c r="C104" s="130" t="s">
        <v>172</v>
      </c>
      <c r="D104" s="127">
        <f>D92</f>
        <v>0.002105654618347927</v>
      </c>
      <c r="E104" s="128" t="s">
        <v>153</v>
      </c>
      <c r="F104" s="56"/>
    </row>
    <row r="105" spans="1:6" ht="14.25" hidden="1" outlineLevel="1" thickBot="1">
      <c r="A105" s="121">
        <v>25</v>
      </c>
      <c r="B105" s="258"/>
      <c r="C105" s="122" t="s">
        <v>173</v>
      </c>
      <c r="D105" s="127">
        <f>D92</f>
        <v>0.002105654618347927</v>
      </c>
      <c r="E105" s="128" t="s">
        <v>155</v>
      </c>
      <c r="F105" s="56"/>
    </row>
    <row r="106" spans="1:6" ht="13.5" hidden="1" outlineLevel="1" thickBot="1">
      <c r="A106" s="247" t="s">
        <v>174</v>
      </c>
      <c r="B106" s="248"/>
      <c r="C106" s="248"/>
      <c r="D106" s="248"/>
      <c r="E106" s="249"/>
      <c r="F106" s="56"/>
    </row>
    <row r="107" spans="1:6" ht="12.75" hidden="1" outlineLevel="1">
      <c r="A107" s="117">
        <v>26</v>
      </c>
      <c r="B107" s="257" t="s">
        <v>145</v>
      </c>
      <c r="C107" s="118" t="s">
        <v>175</v>
      </c>
      <c r="D107" s="127">
        <f>D78-D79/2</f>
        <v>64.02</v>
      </c>
      <c r="E107" s="120" t="s">
        <v>4</v>
      </c>
      <c r="F107" s="56"/>
    </row>
    <row r="108" spans="1:6" ht="12.75" hidden="1" outlineLevel="1">
      <c r="A108" s="121">
        <v>27</v>
      </c>
      <c r="B108" s="258"/>
      <c r="C108" s="122" t="s">
        <v>176</v>
      </c>
      <c r="D108" s="127">
        <f>D77/4-D79/2-D81/2+D80/4</f>
        <v>85.02000000000001</v>
      </c>
      <c r="E108" s="124" t="s">
        <v>4</v>
      </c>
      <c r="F108" s="56"/>
    </row>
    <row r="109" spans="1:6" ht="13.5" hidden="1" outlineLevel="1">
      <c r="A109" s="121">
        <v>28</v>
      </c>
      <c r="B109" s="125" t="s">
        <v>148</v>
      </c>
      <c r="C109" s="126" t="s">
        <v>177</v>
      </c>
      <c r="D109" s="127">
        <f>D79/10*(D77/2/10-D80/2/10-D81/10-D79/10)</f>
        <v>0.392784</v>
      </c>
      <c r="E109" s="128" t="s">
        <v>150</v>
      </c>
      <c r="F109" s="56"/>
    </row>
    <row r="110" spans="1:6" ht="13.5" hidden="1" outlineLevel="1">
      <c r="A110" s="129">
        <v>29</v>
      </c>
      <c r="B110" s="259" t="s">
        <v>151</v>
      </c>
      <c r="C110" s="130" t="s">
        <v>178</v>
      </c>
      <c r="D110" s="127">
        <f>(D77/10/2-D79/10-D81/10-D80/10/2)^3*D79/10/12</f>
        <v>0.1314522357119999</v>
      </c>
      <c r="E110" s="128" t="s">
        <v>153</v>
      </c>
      <c r="F110" s="56"/>
    </row>
    <row r="111" spans="1:6" ht="14.25" hidden="1" outlineLevel="1" thickBot="1">
      <c r="A111" s="121">
        <v>30</v>
      </c>
      <c r="B111" s="258"/>
      <c r="C111" s="122" t="s">
        <v>179</v>
      </c>
      <c r="D111" s="127">
        <f>(D77/10/2-D79/10-D81/10-D80/10/2)*(D79/10)^3/12</f>
        <v>0.001257432512</v>
      </c>
      <c r="E111" s="128" t="s">
        <v>155</v>
      </c>
      <c r="F111" s="56"/>
    </row>
    <row r="112" spans="1:6" ht="15.75" hidden="1" outlineLevel="1" thickBot="1">
      <c r="A112" s="260" t="s">
        <v>180</v>
      </c>
      <c r="B112" s="261"/>
      <c r="C112" s="261"/>
      <c r="D112" s="261"/>
      <c r="E112" s="262"/>
      <c r="F112" s="56"/>
    </row>
    <row r="113" spans="1:6" ht="17.25" hidden="1" outlineLevel="1">
      <c r="A113" s="132">
        <v>31</v>
      </c>
      <c r="B113" s="133" t="s">
        <v>181</v>
      </c>
      <c r="C113" s="134" t="s">
        <v>182</v>
      </c>
      <c r="D113" s="135">
        <f>D85+2*D91+2*D97+2*D103+2*D109</f>
        <v>7.160410719442465</v>
      </c>
      <c r="E113" s="136" t="s">
        <v>183</v>
      </c>
      <c r="F113" s="56"/>
    </row>
    <row r="114" spans="1:6" ht="17.25" hidden="1" outlineLevel="1">
      <c r="A114" s="137">
        <v>32</v>
      </c>
      <c r="B114" s="263" t="s">
        <v>184</v>
      </c>
      <c r="C114" s="138" t="s">
        <v>185</v>
      </c>
      <c r="D114" s="139">
        <f>0</f>
        <v>0</v>
      </c>
      <c r="E114" s="140" t="s">
        <v>186</v>
      </c>
      <c r="F114" s="56"/>
    </row>
    <row r="115" spans="1:6" ht="17.25" hidden="1" outlineLevel="1">
      <c r="A115" s="137">
        <v>33</v>
      </c>
      <c r="B115" s="263"/>
      <c r="C115" s="138" t="s">
        <v>187</v>
      </c>
      <c r="D115" s="139">
        <f>D83/10*D85+2*D89/10*D91+2*D95/10*D97+2*D101/10*D103+2*D107/10*D109</f>
        <v>14.004454838188012</v>
      </c>
      <c r="E115" s="140" t="s">
        <v>186</v>
      </c>
      <c r="F115" s="56"/>
    </row>
    <row r="116" spans="1:6" ht="15" hidden="1" outlineLevel="1">
      <c r="A116" s="137">
        <v>34</v>
      </c>
      <c r="B116" s="264" t="s">
        <v>188</v>
      </c>
      <c r="C116" s="138" t="s">
        <v>189</v>
      </c>
      <c r="D116" s="139">
        <f>D115/D113*10</f>
        <v>19.558172550300924</v>
      </c>
      <c r="E116" s="140" t="s">
        <v>4</v>
      </c>
      <c r="F116" s="56"/>
    </row>
    <row r="117" spans="1:6" ht="15" hidden="1" outlineLevel="1">
      <c r="A117" s="137">
        <v>35</v>
      </c>
      <c r="B117" s="263"/>
      <c r="C117" s="138" t="s">
        <v>190</v>
      </c>
      <c r="D117" s="139">
        <f>0</f>
        <v>0</v>
      </c>
      <c r="E117" s="140" t="s">
        <v>4</v>
      </c>
      <c r="F117" s="56"/>
    </row>
    <row r="118" spans="1:6" ht="17.25" hidden="1" outlineLevel="1">
      <c r="A118" s="137">
        <v>36</v>
      </c>
      <c r="B118" s="265" t="s">
        <v>191</v>
      </c>
      <c r="C118" s="141" t="s">
        <v>192</v>
      </c>
      <c r="D118" s="139">
        <f>D86+2*(D92+(D90/10)^2*D91+D98+(D96/10)^2*D97+D104+(D102/10)^2*D103+D110+(D108/10)^2*D109)</f>
        <v>427.6498898091357</v>
      </c>
      <c r="E118" s="140" t="s">
        <v>193</v>
      </c>
      <c r="F118" s="56"/>
    </row>
    <row r="119" spans="1:6" ht="17.25" hidden="1" outlineLevel="1">
      <c r="A119" s="137">
        <v>37</v>
      </c>
      <c r="B119" s="265"/>
      <c r="C119" s="141" t="s">
        <v>194</v>
      </c>
      <c r="D119" s="139">
        <f>D87+(D83/10-D116/10)^2*D85+2*(D93+(D89/10-D116/10)^2*D91+D99+(D95/10-D116/10)^2*D97+D105+(D101/10-D116/10)^2*D103+D111+(D107/10-D116/10)^2*D109)</f>
        <v>42.75517231068019</v>
      </c>
      <c r="E119" s="140" t="s">
        <v>195</v>
      </c>
      <c r="F119" s="56"/>
    </row>
    <row r="120" spans="1:6" ht="17.25" hidden="1" outlineLevel="1">
      <c r="A120" s="137">
        <v>38</v>
      </c>
      <c r="B120" s="266" t="s">
        <v>196</v>
      </c>
      <c r="C120" s="138" t="s">
        <v>197</v>
      </c>
      <c r="D120" s="139">
        <f>2*D118/(D77/10)</f>
        <v>42.76498898091357</v>
      </c>
      <c r="E120" s="140" t="s">
        <v>198</v>
      </c>
      <c r="F120" s="56"/>
    </row>
    <row r="121" spans="1:6" ht="17.25" hidden="1" outlineLevel="1">
      <c r="A121" s="137">
        <v>39</v>
      </c>
      <c r="B121" s="265"/>
      <c r="C121" s="138" t="s">
        <v>199</v>
      </c>
      <c r="D121" s="139">
        <f>D119/(D78/10-D116/10)</f>
        <v>9.40877044568843</v>
      </c>
      <c r="E121" s="140" t="s">
        <v>198</v>
      </c>
      <c r="F121" s="56"/>
    </row>
    <row r="122" spans="1:6" ht="30" hidden="1" outlineLevel="1">
      <c r="A122" s="143">
        <v>40</v>
      </c>
      <c r="B122" s="142" t="s">
        <v>200</v>
      </c>
      <c r="C122" s="144" t="s">
        <v>201</v>
      </c>
      <c r="D122" s="145">
        <f>(D79/10)^2*(D126/10)/3</f>
        <v>0.4671555206542124</v>
      </c>
      <c r="E122" s="146" t="s">
        <v>198</v>
      </c>
      <c r="F122" s="56"/>
    </row>
    <row r="123" spans="1:6" ht="15" hidden="1" outlineLevel="1">
      <c r="A123" s="137">
        <v>41</v>
      </c>
      <c r="B123" s="266" t="s">
        <v>202</v>
      </c>
      <c r="C123" s="138" t="s">
        <v>203</v>
      </c>
      <c r="D123" s="139">
        <f>(D118/D113)^0.5</f>
        <v>7.728144167812024</v>
      </c>
      <c r="E123" s="140" t="s">
        <v>204</v>
      </c>
      <c r="F123" s="56"/>
    </row>
    <row r="124" spans="1:6" ht="15" hidden="1" outlineLevel="1">
      <c r="A124" s="137">
        <v>42</v>
      </c>
      <c r="B124" s="265"/>
      <c r="C124" s="138" t="s">
        <v>205</v>
      </c>
      <c r="D124" s="139">
        <f>(D119/D113)^0.5</f>
        <v>2.443573257171295</v>
      </c>
      <c r="E124" s="140" t="s">
        <v>204</v>
      </c>
      <c r="F124" s="56"/>
    </row>
    <row r="125" spans="1:6" ht="15" hidden="1" outlineLevel="1">
      <c r="A125" s="137">
        <v>43</v>
      </c>
      <c r="B125" s="147" t="s">
        <v>206</v>
      </c>
      <c r="C125" s="138" t="s">
        <v>207</v>
      </c>
      <c r="D125" s="139">
        <f>0.785*D113</f>
        <v>5.620922414762336</v>
      </c>
      <c r="E125" s="148" t="s">
        <v>208</v>
      </c>
      <c r="F125" s="56"/>
    </row>
    <row r="126" spans="1:6" ht="15.75" hidden="1" outlineLevel="1" thickBot="1">
      <c r="A126" s="149">
        <v>44</v>
      </c>
      <c r="B126" s="150" t="s">
        <v>209</v>
      </c>
      <c r="C126" s="151" t="s">
        <v>210</v>
      </c>
      <c r="D126" s="152">
        <f>2*(D78+D77)-D80-8*(D79+D81)+2*PI()*(D79/LN(1+D79/D81))</f>
        <v>364.81324499235654</v>
      </c>
      <c r="E126" s="153" t="s">
        <v>4</v>
      </c>
      <c r="F126" s="56"/>
    </row>
    <row r="127" ht="12.75" collapsed="1"/>
  </sheetData>
  <sheetProtection/>
  <mergeCells count="29">
    <mergeCell ref="B114:B115"/>
    <mergeCell ref="B116:B117"/>
    <mergeCell ref="B118:B119"/>
    <mergeCell ref="B120:B121"/>
    <mergeCell ref="B123:B124"/>
    <mergeCell ref="B101:B102"/>
    <mergeCell ref="B104:B105"/>
    <mergeCell ref="A106:E106"/>
    <mergeCell ref="B107:B108"/>
    <mergeCell ref="B110:B111"/>
    <mergeCell ref="A112:E112"/>
    <mergeCell ref="B89:B90"/>
    <mergeCell ref="B92:B93"/>
    <mergeCell ref="A94:E94"/>
    <mergeCell ref="B95:B96"/>
    <mergeCell ref="B98:B99"/>
    <mergeCell ref="A100:E100"/>
    <mergeCell ref="O28:R28"/>
    <mergeCell ref="A75:E75"/>
    <mergeCell ref="A76:E76"/>
    <mergeCell ref="A82:E82"/>
    <mergeCell ref="B83:B84"/>
    <mergeCell ref="B86:B87"/>
    <mergeCell ref="A1:E1"/>
    <mergeCell ref="A2:B2"/>
    <mergeCell ref="A13:B13"/>
    <mergeCell ref="C20:E20"/>
    <mergeCell ref="I28:L28"/>
    <mergeCell ref="A88:E88"/>
  </mergeCells>
  <conditionalFormatting sqref="I45:I46">
    <cfRule type="cellIs" priority="14" dxfId="10" operator="greaterThanOrEqual" stopIfTrue="1">
      <formula>$D$45</formula>
    </cfRule>
  </conditionalFormatting>
  <conditionalFormatting sqref="J45:J46">
    <cfRule type="cellIs" priority="13" dxfId="10" operator="greaterThanOrEqual" stopIfTrue="1">
      <formula>$I$45</formula>
    </cfRule>
  </conditionalFormatting>
  <conditionalFormatting sqref="K45:K46">
    <cfRule type="cellIs" priority="12" dxfId="10" operator="greaterThanOrEqual" stopIfTrue="1">
      <formula>$J$45</formula>
    </cfRule>
  </conditionalFormatting>
  <conditionalFormatting sqref="L45:L46">
    <cfRule type="cellIs" priority="11" dxfId="10" operator="greaterThanOrEqual" stopIfTrue="1">
      <formula>$K$45</formula>
    </cfRule>
  </conditionalFormatting>
  <conditionalFormatting sqref="O56:O57">
    <cfRule type="cellIs" priority="10" dxfId="0" operator="greaterThanOrEqual" stopIfTrue="1">
      <formula>$D$56</formula>
    </cfRule>
  </conditionalFormatting>
  <conditionalFormatting sqref="P56:P57">
    <cfRule type="cellIs" priority="9" dxfId="0" operator="greaterThanOrEqual" stopIfTrue="1">
      <formula>$O$56</formula>
    </cfRule>
  </conditionalFormatting>
  <conditionalFormatting sqref="Q56:Q57">
    <cfRule type="cellIs" priority="8" dxfId="0" operator="greaterThanOrEqual" stopIfTrue="1">
      <formula>$P$56</formula>
    </cfRule>
  </conditionalFormatting>
  <conditionalFormatting sqref="R56:R57">
    <cfRule type="cellIs" priority="7" dxfId="0" operator="greaterThanOrEqual" stopIfTrue="1">
      <formula>$Q$56</formula>
    </cfRule>
  </conditionalFormatting>
  <conditionalFormatting sqref="P3">
    <cfRule type="cellIs" priority="6" dxfId="0" operator="greaterThan" stopIfTrue="1">
      <formula>500</formula>
    </cfRule>
  </conditionalFormatting>
  <conditionalFormatting sqref="P4">
    <cfRule type="cellIs" priority="5" dxfId="0" operator="greaterThan" stopIfTrue="1">
      <formula>60</formula>
    </cfRule>
  </conditionalFormatting>
  <conditionalFormatting sqref="P6">
    <cfRule type="cellIs" priority="3" dxfId="0" operator="greaterThan" stopIfTrue="1">
      <formula>0.6</formula>
    </cfRule>
    <cfRule type="cellIs" priority="4" dxfId="2" operator="lessThan" stopIfTrue="1">
      <formula>0.2</formula>
    </cfRule>
  </conditionalFormatting>
  <conditionalFormatting sqref="P7:P8 P5">
    <cfRule type="cellIs" priority="2" dxfId="0" operator="greaterThan" stopIfTrue="1">
      <formula>50</formula>
    </cfRule>
  </conditionalFormatting>
  <conditionalFormatting sqref="C20:G20">
    <cfRule type="cellIs" priority="1" dxfId="0" operator="equal" stopIfTrue="1">
      <formula>"Не проходит по EN1993-1-3"</formula>
    </cfRule>
  </conditionalFormatting>
  <printOptions/>
  <pageMargins left="0.75" right="0.75" top="1" bottom="1" header="0.5" footer="0.5"/>
  <pageSetup horizontalDpi="600" verticalDpi="600" orientation="portrait" paperSize="9" r:id="rId2"/>
  <ignoredErrors>
    <ignoredError sqref="D10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Воробьев</cp:lastModifiedBy>
  <dcterms:created xsi:type="dcterms:W3CDTF">1996-10-08T23:32:33Z</dcterms:created>
  <dcterms:modified xsi:type="dcterms:W3CDTF">2019-07-20T10:49:46Z</dcterms:modified>
  <cp:category/>
  <cp:version/>
  <cp:contentType/>
  <cp:contentStatus/>
</cp:coreProperties>
</file>