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820" windowHeight="6450" tabRatio="681" activeTab="0"/>
  </bookViews>
  <sheets>
    <sheet name="Проект-1" sheetId="1" r:id="rId1"/>
    <sheet name="Проект-1(табл.)" sheetId="2" r:id="rId2"/>
    <sheet name="Проект-2" sheetId="3" r:id="rId3"/>
    <sheet name="Проект-2(табл.)" sheetId="4" r:id="rId4"/>
    <sheet name="Ремонт" sheetId="5" r:id="rId5"/>
    <sheet name="Ремонт(табл.)" sheetId="6" r:id="rId6"/>
  </sheets>
  <definedNames>
    <definedName name="_xlnm.Print_Area" localSheetId="0">'Проект-1'!$A$1:$K$38</definedName>
    <definedName name="_xlnm.Print_Area" localSheetId="2">'Проект-2'!$A$1:$K$34</definedName>
    <definedName name="_xlnm.Print_Area" localSheetId="4">'Ремонт'!$A$1:$E$24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  <author>Воробьев</author>
  </authors>
  <commentList>
    <comment ref="B11" authorId="0">
      <text>
        <r>
          <rPr>
            <b/>
            <sz val="8"/>
            <rFont val="Tahoma"/>
            <family val="2"/>
          </rPr>
          <t>Рекомендуется применять:
БрО10Н1Ф1     при Vs &lt; 25 м/c
БрО10Ф1          при Vs &lt; 12 м/c
БрО5Ц5С5        при Vs &lt; 8 м/c
БрА9Ж3Л         при Vs &lt;  5 м/c
БрА10Ж4Н4Л  при Vs &lt;  5 м/c
СЧ15...СЧ20     при Vs &lt;  2 м/c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8"/>
            <rFont val="Tahoma"/>
            <family val="0"/>
          </rPr>
          <t>-1 &lt; x &lt; 1 !</t>
        </r>
        <r>
          <rPr>
            <sz val="8"/>
            <rFont val="Tahoma"/>
            <family val="0"/>
          </rPr>
          <t xml:space="preserve">
</t>
        </r>
      </text>
    </comment>
    <comment ref="B7" authorId="1">
      <text>
        <r>
          <rPr>
            <b/>
            <sz val="8"/>
            <rFont val="Tahoma"/>
            <family val="0"/>
          </rPr>
          <t>При работе в 1 смену (8 часов) с учетом выходных (субботы и воскресенья) и праздников количество рабочих часов в году ~ 2000.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b/>
            <sz val="8"/>
            <rFont val="Tahoma"/>
            <family val="0"/>
          </rPr>
          <t>0,67 &lt; K</t>
        </r>
        <r>
          <rPr>
            <b/>
            <vertAlign val="subscript"/>
            <sz val="8"/>
            <rFont val="Tahoma"/>
            <family val="2"/>
          </rPr>
          <t>HL</t>
        </r>
        <r>
          <rPr>
            <b/>
            <sz val="8"/>
            <rFont val="Tahoma"/>
            <family val="2"/>
          </rPr>
          <t>&lt; 1,15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0,543 &lt; K</t>
        </r>
        <r>
          <rPr>
            <b/>
            <vertAlign val="subscript"/>
            <sz val="8"/>
            <rFont val="Tahoma"/>
            <family val="2"/>
          </rPr>
          <t>FL</t>
        </r>
        <r>
          <rPr>
            <b/>
            <sz val="8"/>
            <rFont val="Tahoma"/>
            <family val="0"/>
          </rPr>
          <t xml:space="preserve"> &lt; 1,000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Смотри примечание к п. 1.7 !!!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Воробьев</author>
    <author>Александр</author>
  </authors>
  <commentList>
    <comment ref="B7" authorId="0">
      <text>
        <r>
          <rPr>
            <b/>
            <sz val="8"/>
            <rFont val="Tahoma"/>
            <family val="0"/>
          </rPr>
          <t>При работе в 1 смену (8 часов) с учетом выходных (субботы и воскресенья) и праздников количество рабочих часов в году ~ 2000.</t>
        </r>
        <r>
          <rPr>
            <sz val="8"/>
            <rFont val="Tahoma"/>
            <family val="0"/>
          </rPr>
          <t xml:space="preserve">
</t>
        </r>
      </text>
    </comment>
    <comment ref="B28" authorId="1">
      <text>
        <r>
          <rPr>
            <b/>
            <sz val="8"/>
            <rFont val="Tahoma"/>
            <family val="0"/>
          </rPr>
          <t>Смотри примечание к п. 1.6 !!!</t>
        </r>
        <r>
          <rPr>
            <sz val="8"/>
            <rFont val="Tahoma"/>
            <family val="0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>Рекомендуется применять:
БрО10Н1Ф1     при Vs &lt; 25 м/c
БрО10Ф1          при Vs &lt; 12 м/c
БрО5Ц5С5        при Vs &lt; 8 м/c
БрА9Ж3Л         при Vs &lt;  5 м/c
БрА10Ж4Н4Л  при Vs &lt;  5 м/c
СЧ15...СЧ20     при Vs &lt;  2 м/c</t>
        </r>
        <r>
          <rPr>
            <sz val="8"/>
            <rFont val="Tahoma"/>
            <family val="0"/>
          </rPr>
          <t xml:space="preserve">
</t>
        </r>
      </text>
    </comment>
    <comment ref="B31" authorId="1">
      <text>
        <r>
          <rPr>
            <b/>
            <sz val="8"/>
            <rFont val="Tahoma"/>
            <family val="0"/>
          </rPr>
          <t>0,67 &lt; K</t>
        </r>
        <r>
          <rPr>
            <b/>
            <vertAlign val="subscript"/>
            <sz val="8"/>
            <rFont val="Tahoma"/>
            <family val="2"/>
          </rPr>
          <t>HL</t>
        </r>
        <r>
          <rPr>
            <b/>
            <sz val="8"/>
            <rFont val="Tahoma"/>
            <family val="2"/>
          </rPr>
          <t>&lt; 1,15</t>
        </r>
        <r>
          <rPr>
            <sz val="8"/>
            <rFont val="Tahoma"/>
            <family val="2"/>
          </rPr>
          <t xml:space="preserve">
</t>
        </r>
      </text>
    </comment>
    <comment ref="B32" authorId="1">
      <text>
        <r>
          <rPr>
            <b/>
            <sz val="8"/>
            <rFont val="Tahoma"/>
            <family val="0"/>
          </rPr>
          <t>0,543 &lt; K</t>
        </r>
        <r>
          <rPr>
            <b/>
            <vertAlign val="subscript"/>
            <sz val="8"/>
            <rFont val="Tahoma"/>
            <family val="2"/>
          </rPr>
          <t>FL</t>
        </r>
        <r>
          <rPr>
            <b/>
            <sz val="8"/>
            <rFont val="Tahoma"/>
            <family val="0"/>
          </rPr>
          <t xml:space="preserve"> &lt; 1,000</t>
        </r>
        <r>
          <rPr>
            <sz val="8"/>
            <rFont val="Tahoma"/>
            <family val="0"/>
          </rPr>
          <t xml:space="preserve">
</t>
        </r>
      </text>
    </comment>
    <comment ref="H3" authorId="1">
      <text>
        <r>
          <rPr>
            <b/>
            <sz val="8"/>
            <rFont val="Tahoma"/>
            <family val="0"/>
          </rPr>
          <t>-1 &lt; x &lt; 1 !</t>
        </r>
        <r>
          <rPr>
            <sz val="8"/>
            <rFont val="Tahoma"/>
            <family val="0"/>
          </rPr>
          <t xml:space="preserve">
</t>
        </r>
      </text>
    </comment>
    <comment ref="B15" authorId="1">
      <text>
        <r>
          <rPr>
            <b/>
            <sz val="8"/>
            <rFont val="Tahoma"/>
            <family val="0"/>
          </rPr>
          <t>Рекомендуется:
6,3 &lt; q &lt; 25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</t>
        </r>
        <r>
          <rPr>
            <sz val="8"/>
            <rFont val="Tahoma"/>
            <family val="0"/>
          </rPr>
          <t xml:space="preserve">6,3  7,1  7,5 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0"/>
          </rPr>
          <t xml:space="preserve">  9 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0"/>
          </rPr>
          <t xml:space="preserve">  11,2  12  </t>
        </r>
        <r>
          <rPr>
            <b/>
            <sz val="8"/>
            <rFont val="Tahoma"/>
            <family val="2"/>
          </rPr>
          <t>12,5</t>
        </r>
        <r>
          <rPr>
            <sz val="8"/>
            <rFont val="Tahoma"/>
            <family val="0"/>
          </rPr>
          <t xml:space="preserve">  14  </t>
        </r>
        <r>
          <rPr>
            <b/>
            <sz val="8"/>
            <rFont val="Tahoma"/>
            <family val="2"/>
          </rPr>
          <t>16</t>
        </r>
        <r>
          <rPr>
            <sz val="8"/>
            <rFont val="Tahoma"/>
            <family val="0"/>
          </rPr>
          <t xml:space="preserve">  18  </t>
        </r>
        <r>
          <rPr>
            <b/>
            <sz val="8"/>
            <rFont val="Tahoma"/>
            <family val="2"/>
          </rPr>
          <t>20</t>
        </r>
        <r>
          <rPr>
            <sz val="8"/>
            <rFont val="Tahoma"/>
            <family val="0"/>
          </rPr>
          <t xml:space="preserve">  22,4  25</t>
        </r>
        <r>
          <rPr>
            <b/>
            <sz val="8"/>
            <rFont val="Tahoma"/>
            <family val="2"/>
          </rPr>
          <t>)</t>
        </r>
      </text>
    </comment>
    <comment ref="B13" authorId="1">
      <text>
        <r>
          <rPr>
            <b/>
            <sz val="8"/>
            <rFont val="Tahoma"/>
            <family val="2"/>
          </rPr>
          <t>Рекомендуется:
28 &lt; Z</t>
        </r>
        <r>
          <rPr>
            <b/>
            <vertAlign val="subscript"/>
            <sz val="8"/>
            <rFont val="Tahoma"/>
            <family val="2"/>
          </rPr>
          <t>2</t>
        </r>
        <r>
          <rPr>
            <b/>
            <sz val="8"/>
            <rFont val="Tahoma"/>
            <family val="2"/>
          </rPr>
          <t xml:space="preserve"> &lt; 80 </t>
        </r>
        <r>
          <rPr>
            <sz val="8"/>
            <rFont val="Tahoma"/>
            <family val="0"/>
          </rPr>
          <t xml:space="preserve">
</t>
        </r>
      </text>
    </comment>
    <comment ref="B16" authorId="1">
      <text>
        <r>
          <rPr>
            <b/>
            <sz val="8"/>
            <rFont val="Tahoma"/>
            <family val="0"/>
          </rPr>
          <t>Рекомендуется:
40 &lt;</t>
        </r>
        <r>
          <rPr>
            <b/>
            <sz val="10"/>
            <rFont val="Tahoma"/>
            <family val="2"/>
          </rPr>
          <t xml:space="preserve"> a</t>
        </r>
        <r>
          <rPr>
            <b/>
            <vertAlign val="subscript"/>
            <sz val="8"/>
            <rFont val="Tahoma"/>
            <family val="2"/>
          </rPr>
          <t>w</t>
        </r>
        <r>
          <rPr>
            <b/>
            <sz val="8"/>
            <rFont val="Tahoma"/>
            <family val="0"/>
          </rPr>
          <t xml:space="preserve"> &lt; 500
(40  50  63  80  100  125  140  160  180  200  225  250  280  315  355  400  450  500)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24" authorId="0">
      <text>
        <r>
          <rPr>
            <b/>
            <sz val="8"/>
            <rFont val="Tahoma"/>
            <family val="0"/>
          </rPr>
          <t>-1 &lt; x &lt; 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<sst xmlns="http://schemas.openxmlformats.org/spreadsheetml/2006/main" count="756" uniqueCount="284">
  <si>
    <t>Число заходов червяка</t>
  </si>
  <si>
    <t>Число зубьев колеса</t>
  </si>
  <si>
    <t>Передаточное число передачи</t>
  </si>
  <si>
    <t>u</t>
  </si>
  <si>
    <t>Частота вращения вала червяка</t>
  </si>
  <si>
    <t>Частота вращения вала червячного колеса</t>
  </si>
  <si>
    <t>об/мин</t>
  </si>
  <si>
    <t>№строки</t>
  </si>
  <si>
    <t>r</t>
  </si>
  <si>
    <t>Число циклов нагружения зубьев колеса</t>
  </si>
  <si>
    <r>
      <t>N</t>
    </r>
    <r>
      <rPr>
        <vertAlign val="subscript"/>
        <sz val="10"/>
        <rFont val="Symbol"/>
        <family val="1"/>
      </rPr>
      <t>S</t>
    </r>
  </si>
  <si>
    <r>
      <t>Т</t>
    </r>
    <r>
      <rPr>
        <vertAlign val="subscript"/>
        <sz val="10"/>
        <rFont val="Arial Cyr"/>
        <family val="2"/>
      </rPr>
      <t>2</t>
    </r>
  </si>
  <si>
    <t>Н*м</t>
  </si>
  <si>
    <t>м/с</t>
  </si>
  <si>
    <t>Материал червяка</t>
  </si>
  <si>
    <t>Материал червячного колеса</t>
  </si>
  <si>
    <t>Колесо</t>
  </si>
  <si>
    <r>
      <t>Vs</t>
    </r>
    <r>
      <rPr>
        <vertAlign val="subscript"/>
        <sz val="10"/>
        <rFont val="Arial Cyr"/>
        <family val="2"/>
      </rPr>
      <t>п</t>
    </r>
  </si>
  <si>
    <r>
      <t>s</t>
    </r>
    <r>
      <rPr>
        <b/>
        <vertAlign val="subscript"/>
        <sz val="10"/>
        <color indexed="10"/>
        <rFont val="Arial Cyr"/>
        <family val="2"/>
      </rPr>
      <t>в</t>
    </r>
  </si>
  <si>
    <r>
      <t>s</t>
    </r>
    <r>
      <rPr>
        <b/>
        <vertAlign val="subscript"/>
        <sz val="10"/>
        <color indexed="10"/>
        <rFont val="Arial Cyr"/>
        <family val="2"/>
      </rPr>
      <t>т</t>
    </r>
  </si>
  <si>
    <t xml:space="preserve">Предел прочности материала колеса </t>
  </si>
  <si>
    <t xml:space="preserve">Предел текучести материала колеса </t>
  </si>
  <si>
    <t>МПа</t>
  </si>
  <si>
    <t>-</t>
  </si>
  <si>
    <r>
      <t>а</t>
    </r>
    <r>
      <rPr>
        <b/>
        <vertAlign val="subscript"/>
        <sz val="10"/>
        <color indexed="10"/>
        <rFont val="Arial Cyr"/>
        <family val="2"/>
      </rPr>
      <t>w</t>
    </r>
  </si>
  <si>
    <t>m</t>
  </si>
  <si>
    <t>q</t>
  </si>
  <si>
    <r>
      <t>C</t>
    </r>
    <r>
      <rPr>
        <sz val="10"/>
        <rFont val="Arial Cyr"/>
        <family val="2"/>
      </rPr>
      <t>v</t>
    </r>
    <r>
      <rPr>
        <vertAlign val="subscript"/>
        <sz val="10"/>
        <rFont val="Arial Cyr"/>
        <family val="2"/>
      </rPr>
      <t>п</t>
    </r>
  </si>
  <si>
    <t>К-т интенсивности износа (предварительно)</t>
  </si>
  <si>
    <t>Скорость скольжения (предварительно)</t>
  </si>
  <si>
    <r>
      <t>k</t>
    </r>
    <r>
      <rPr>
        <vertAlign val="subscript"/>
        <sz val="10"/>
        <rFont val="Arial Cyr"/>
        <family val="2"/>
      </rPr>
      <t>p</t>
    </r>
  </si>
  <si>
    <t>Режим нагружения передачи</t>
  </si>
  <si>
    <t>Постоянный</t>
  </si>
  <si>
    <t>Профиль витков червяка</t>
  </si>
  <si>
    <t>ZA</t>
  </si>
  <si>
    <t>Межосевое расстояние (предварительно)</t>
  </si>
  <si>
    <t>мм</t>
  </si>
  <si>
    <r>
      <t>a</t>
    </r>
    <r>
      <rPr>
        <vertAlign val="subscript"/>
        <sz val="10"/>
        <rFont val="Arial Cyr"/>
        <family val="2"/>
      </rPr>
      <t>wп</t>
    </r>
  </si>
  <si>
    <t>Межосевое расстояние</t>
  </si>
  <si>
    <r>
      <t>а</t>
    </r>
    <r>
      <rPr>
        <b/>
        <vertAlign val="subscript"/>
        <sz val="10"/>
        <color indexed="10"/>
        <rFont val="Arial Cyr"/>
        <family val="2"/>
      </rPr>
      <t>wп</t>
    </r>
  </si>
  <si>
    <t>№ строки</t>
  </si>
  <si>
    <t>Модуль передачи</t>
  </si>
  <si>
    <t>Ход витка червяка</t>
  </si>
  <si>
    <t>Диаметр вершин витков червяка</t>
  </si>
  <si>
    <t>Расчетный шаг червяка</t>
  </si>
  <si>
    <t xml:space="preserve">Число заходов червяка </t>
  </si>
  <si>
    <t xml:space="preserve">К-т диаметра червяка </t>
  </si>
  <si>
    <t>Делительный диаметр червяка</t>
  </si>
  <si>
    <r>
      <t>d</t>
    </r>
    <r>
      <rPr>
        <b/>
        <vertAlign val="subscript"/>
        <sz val="10"/>
        <color indexed="10"/>
        <rFont val="Arial Cyr"/>
        <family val="2"/>
      </rPr>
      <t>a1</t>
    </r>
  </si>
  <si>
    <r>
      <t>d</t>
    </r>
    <r>
      <rPr>
        <b/>
        <vertAlign val="subscript"/>
        <sz val="10"/>
        <color indexed="10"/>
        <rFont val="Arial Cyr"/>
        <family val="2"/>
      </rPr>
      <t>1</t>
    </r>
  </si>
  <si>
    <t>Диаметр впадин витков червяка</t>
  </si>
  <si>
    <r>
      <t>d</t>
    </r>
    <r>
      <rPr>
        <b/>
        <vertAlign val="subscript"/>
        <sz val="10"/>
        <color indexed="10"/>
        <rFont val="Arial Cyr"/>
        <family val="2"/>
      </rPr>
      <t>f1</t>
    </r>
  </si>
  <si>
    <t>Модуль передачи (расч.)</t>
  </si>
  <si>
    <t>К-т диаметра червяка (расч.)</t>
  </si>
  <si>
    <t>К-т смещения червячного колеса (расч.)</t>
  </si>
  <si>
    <t>x</t>
  </si>
  <si>
    <r>
      <t>z</t>
    </r>
    <r>
      <rPr>
        <b/>
        <vertAlign val="subscript"/>
        <sz val="10"/>
        <color indexed="10"/>
        <rFont val="Arial Cyr"/>
        <family val="2"/>
      </rPr>
      <t>1</t>
    </r>
  </si>
  <si>
    <r>
      <t>z</t>
    </r>
    <r>
      <rPr>
        <b/>
        <vertAlign val="subscript"/>
        <sz val="10"/>
        <color indexed="10"/>
        <rFont val="Arial Cyr"/>
        <family val="2"/>
      </rPr>
      <t>2</t>
    </r>
  </si>
  <si>
    <r>
      <t>p</t>
    </r>
    <r>
      <rPr>
        <b/>
        <vertAlign val="subscript"/>
        <sz val="10"/>
        <color indexed="12"/>
        <rFont val="Arial Cyr"/>
        <family val="2"/>
      </rPr>
      <t>z1изм</t>
    </r>
  </si>
  <si>
    <r>
      <t>d</t>
    </r>
    <r>
      <rPr>
        <b/>
        <vertAlign val="subscript"/>
        <sz val="10"/>
        <color indexed="12"/>
        <rFont val="Arial Cyr"/>
        <family val="2"/>
      </rPr>
      <t>a1изм</t>
    </r>
  </si>
  <si>
    <r>
      <t>m</t>
    </r>
    <r>
      <rPr>
        <b/>
        <vertAlign val="subscript"/>
        <sz val="10"/>
        <color indexed="12"/>
        <rFont val="Arial Cyr"/>
        <family val="2"/>
      </rPr>
      <t>расч</t>
    </r>
  </si>
  <si>
    <r>
      <t>q</t>
    </r>
    <r>
      <rPr>
        <b/>
        <vertAlign val="subscript"/>
        <sz val="10"/>
        <color indexed="12"/>
        <rFont val="Arial Cyr"/>
        <family val="2"/>
      </rPr>
      <t>расч</t>
    </r>
  </si>
  <si>
    <t>Делительный угол подъема витка червяка</t>
  </si>
  <si>
    <t>g</t>
  </si>
  <si>
    <t>o</t>
  </si>
  <si>
    <r>
      <t>p</t>
    </r>
    <r>
      <rPr>
        <b/>
        <vertAlign val="subscript"/>
        <sz val="10"/>
        <color indexed="10"/>
        <rFont val="Arial Cyr"/>
        <family val="2"/>
      </rPr>
      <t>z1</t>
    </r>
  </si>
  <si>
    <r>
      <t>p</t>
    </r>
    <r>
      <rPr>
        <b/>
        <vertAlign val="subscript"/>
        <sz val="10"/>
        <color indexed="10"/>
        <rFont val="Arial Cyr"/>
        <family val="2"/>
      </rPr>
      <t>1</t>
    </r>
  </si>
  <si>
    <t>Длина нарезанной части червяка (не менее)</t>
  </si>
  <si>
    <t>(-0,5…0,0)</t>
  </si>
  <si>
    <t>(-1,0...-0,5)</t>
  </si>
  <si>
    <t>(0,0…0,5)</t>
  </si>
  <si>
    <t>(0,5…1,0)</t>
  </si>
  <si>
    <t>1; 2</t>
  </si>
  <si>
    <t>Направление линии витка червяка и колеса</t>
  </si>
  <si>
    <t>правое</t>
  </si>
  <si>
    <t>левое</t>
  </si>
  <si>
    <t>Делительный угол наклона зубьев колеса</t>
  </si>
  <si>
    <t>b</t>
  </si>
  <si>
    <t>Делительный диаметр червячного колеса</t>
  </si>
  <si>
    <r>
      <t>d</t>
    </r>
    <r>
      <rPr>
        <b/>
        <vertAlign val="subscript"/>
        <sz val="10"/>
        <color indexed="10"/>
        <rFont val="Arial Cyr"/>
        <family val="2"/>
      </rPr>
      <t>2</t>
    </r>
  </si>
  <si>
    <r>
      <t>d</t>
    </r>
    <r>
      <rPr>
        <b/>
        <vertAlign val="subscript"/>
        <sz val="10"/>
        <color indexed="10"/>
        <rFont val="Arial Cyr"/>
        <family val="2"/>
      </rPr>
      <t>a2</t>
    </r>
  </si>
  <si>
    <r>
      <t>d</t>
    </r>
    <r>
      <rPr>
        <b/>
        <vertAlign val="subscript"/>
        <sz val="10"/>
        <color indexed="10"/>
        <rFont val="Arial Cyr"/>
        <family val="2"/>
      </rPr>
      <t>f2</t>
    </r>
  </si>
  <si>
    <t>Наибольший диаметр колеса (не более)</t>
  </si>
  <si>
    <t>Диаметр вершин зубьев колеса</t>
  </si>
  <si>
    <t>Диаметр впадин зубьев колеса</t>
  </si>
  <si>
    <r>
      <t>d</t>
    </r>
    <r>
      <rPr>
        <b/>
        <vertAlign val="subscript"/>
        <sz val="10"/>
        <color indexed="12"/>
        <rFont val="Arial Cyr"/>
        <family val="2"/>
      </rPr>
      <t>aМ2</t>
    </r>
  </si>
  <si>
    <r>
      <t>b</t>
    </r>
    <r>
      <rPr>
        <b/>
        <vertAlign val="subscript"/>
        <sz val="10"/>
        <color indexed="12"/>
        <rFont val="Arial Cyr"/>
        <family val="2"/>
      </rPr>
      <t>1</t>
    </r>
  </si>
  <si>
    <r>
      <t>b</t>
    </r>
    <r>
      <rPr>
        <b/>
        <vertAlign val="subscript"/>
        <sz val="10"/>
        <color indexed="12"/>
        <rFont val="Arial Cyr"/>
        <family val="2"/>
      </rPr>
      <t>2</t>
    </r>
  </si>
  <si>
    <t>Ширина венца колеса  (не более)</t>
  </si>
  <si>
    <t>Угол обхвата червяка венцом колеса</t>
  </si>
  <si>
    <r>
      <t>2*</t>
    </r>
    <r>
      <rPr>
        <b/>
        <sz val="10"/>
        <color indexed="12"/>
        <rFont val="Symbol"/>
        <family val="1"/>
      </rPr>
      <t>d</t>
    </r>
  </si>
  <si>
    <t>Модуль</t>
  </si>
  <si>
    <t>Число витков</t>
  </si>
  <si>
    <t xml:space="preserve">Вид червяка </t>
  </si>
  <si>
    <t>Делительный угол подъема</t>
  </si>
  <si>
    <t>Направление линии витка</t>
  </si>
  <si>
    <t>Исходный червяк</t>
  </si>
  <si>
    <t>Ход витка</t>
  </si>
  <si>
    <t>ГОСТ 19036-81</t>
  </si>
  <si>
    <t>Степень точности по ГОСТ 3675-81</t>
  </si>
  <si>
    <t>9-D</t>
  </si>
  <si>
    <r>
      <t>a</t>
    </r>
    <r>
      <rPr>
        <b/>
        <vertAlign val="subscript"/>
        <sz val="10"/>
        <color indexed="10"/>
        <rFont val="Arial Cyr"/>
        <family val="2"/>
      </rPr>
      <t>w</t>
    </r>
  </si>
  <si>
    <t>Число зубьев сопряженного колеса</t>
  </si>
  <si>
    <t>Число зубьев</t>
  </si>
  <si>
    <t>Делительный угол наклона зубьев</t>
  </si>
  <si>
    <t>Направление линии зуба</t>
  </si>
  <si>
    <t>Коэффициент смещения</t>
  </si>
  <si>
    <t>Исходный производящий червяк</t>
  </si>
  <si>
    <t>Вид сопряженного червяка</t>
  </si>
  <si>
    <t>Число витков сопряженного червяка</t>
  </si>
  <si>
    <t>Таблица к чертежу червяка:</t>
  </si>
  <si>
    <t>Таблица к чертежу червячного колеса:</t>
  </si>
  <si>
    <t>Модуль (минимальный предварительно)</t>
  </si>
  <si>
    <t>Модуль (максимальный предварительно)</t>
  </si>
  <si>
    <r>
      <t>m</t>
    </r>
    <r>
      <rPr>
        <vertAlign val="subscript"/>
        <sz val="10"/>
        <rFont val="Arial Cyr"/>
        <family val="2"/>
      </rPr>
      <t>max</t>
    </r>
  </si>
  <si>
    <r>
      <t>m</t>
    </r>
    <r>
      <rPr>
        <vertAlign val="subscript"/>
        <sz val="10"/>
        <rFont val="Arial Cyr"/>
        <family val="2"/>
      </rPr>
      <t>min</t>
    </r>
  </si>
  <si>
    <r>
      <t>q</t>
    </r>
    <r>
      <rPr>
        <vertAlign val="subscript"/>
        <sz val="10"/>
        <rFont val="Arial Cyr"/>
        <family val="2"/>
      </rPr>
      <t>п</t>
    </r>
  </si>
  <si>
    <r>
      <t>q</t>
    </r>
    <r>
      <rPr>
        <b/>
        <vertAlign val="subscript"/>
        <sz val="10"/>
        <color indexed="10"/>
        <rFont val="Arial Cyr"/>
        <family val="2"/>
      </rPr>
      <t>п</t>
    </r>
  </si>
  <si>
    <r>
      <t>n</t>
    </r>
    <r>
      <rPr>
        <b/>
        <vertAlign val="subscript"/>
        <sz val="10"/>
        <rFont val="Arial Cyr"/>
        <family val="2"/>
      </rPr>
      <t>2</t>
    </r>
  </si>
  <si>
    <r>
      <t>Z</t>
    </r>
    <r>
      <rPr>
        <b/>
        <vertAlign val="subscript"/>
        <sz val="10"/>
        <rFont val="Arial Cyr"/>
        <family val="2"/>
      </rPr>
      <t>1</t>
    </r>
  </si>
  <si>
    <r>
      <t>Z</t>
    </r>
    <r>
      <rPr>
        <b/>
        <vertAlign val="subscript"/>
        <sz val="10"/>
        <rFont val="Arial Cyr"/>
        <family val="2"/>
      </rPr>
      <t>2</t>
    </r>
  </si>
  <si>
    <r>
      <t>a</t>
    </r>
    <r>
      <rPr>
        <b/>
        <vertAlign val="subscript"/>
        <sz val="10"/>
        <rFont val="Arial Cyr"/>
        <family val="2"/>
      </rPr>
      <t>w</t>
    </r>
  </si>
  <si>
    <t xml:space="preserve"> o</t>
  </si>
  <si>
    <t>Начальный угол подъема витка червяка</t>
  </si>
  <si>
    <t>Начальный диаметр червяка</t>
  </si>
  <si>
    <t>Делительный диаметр колеса</t>
  </si>
  <si>
    <t>Окружная скорость на делит. диаметре колеса</t>
  </si>
  <si>
    <t>К-т концентрации нагрузки по длине зубьев колеса</t>
  </si>
  <si>
    <r>
      <t>K</t>
    </r>
    <r>
      <rPr>
        <vertAlign val="subscript"/>
        <sz val="10"/>
        <rFont val="Symbol"/>
        <family val="1"/>
      </rPr>
      <t>n</t>
    </r>
  </si>
  <si>
    <r>
      <t>K</t>
    </r>
    <r>
      <rPr>
        <vertAlign val="subscript"/>
        <sz val="10"/>
        <rFont val="Symbol"/>
        <family val="1"/>
      </rPr>
      <t>b</t>
    </r>
  </si>
  <si>
    <r>
      <t>d</t>
    </r>
    <r>
      <rPr>
        <b/>
        <vertAlign val="subscript"/>
        <sz val="10"/>
        <rFont val="Arial"/>
        <family val="2"/>
      </rPr>
      <t>2</t>
    </r>
  </si>
  <si>
    <t>Скорость скольжения</t>
  </si>
  <si>
    <t>Vs</t>
  </si>
  <si>
    <r>
      <t>V</t>
    </r>
    <r>
      <rPr>
        <vertAlign val="subscript"/>
        <sz val="10"/>
        <rFont val="Arial Cyr"/>
        <family val="2"/>
      </rPr>
      <t>2</t>
    </r>
  </si>
  <si>
    <t>Допускаемые контактные напряжения</t>
  </si>
  <si>
    <r>
      <t>C</t>
    </r>
    <r>
      <rPr>
        <sz val="10"/>
        <rFont val="Arial Cyr"/>
        <family val="2"/>
      </rPr>
      <t>v</t>
    </r>
  </si>
  <si>
    <t>Расчетные контактные напряжения</t>
  </si>
  <si>
    <t>%</t>
  </si>
  <si>
    <t>h</t>
  </si>
  <si>
    <r>
      <t>F</t>
    </r>
    <r>
      <rPr>
        <vertAlign val="subscript"/>
        <sz val="10"/>
        <rFont val="Arial Cyr"/>
        <family val="2"/>
      </rPr>
      <t>t2</t>
    </r>
    <r>
      <rPr>
        <sz val="10"/>
        <rFont val="Arial Cyr"/>
        <family val="0"/>
      </rPr>
      <t>=F</t>
    </r>
    <r>
      <rPr>
        <vertAlign val="subscript"/>
        <sz val="10"/>
        <rFont val="Arial Cyr"/>
        <family val="2"/>
      </rPr>
      <t>a1</t>
    </r>
  </si>
  <si>
    <t>H</t>
  </si>
  <si>
    <r>
      <t>F</t>
    </r>
    <r>
      <rPr>
        <vertAlign val="subscript"/>
        <sz val="10"/>
        <rFont val="Arial Cyr"/>
        <family val="2"/>
      </rPr>
      <t>t1</t>
    </r>
    <r>
      <rPr>
        <sz val="10"/>
        <rFont val="Arial Cyr"/>
        <family val="0"/>
      </rPr>
      <t>=F</t>
    </r>
    <r>
      <rPr>
        <vertAlign val="subscript"/>
        <sz val="10"/>
        <rFont val="Arial Cyr"/>
        <family val="2"/>
      </rPr>
      <t>a2</t>
    </r>
  </si>
  <si>
    <t>Вращающий момент на валу червяка</t>
  </si>
  <si>
    <r>
      <t>T</t>
    </r>
    <r>
      <rPr>
        <vertAlign val="subscript"/>
        <sz val="10"/>
        <rFont val="Arial Cyr"/>
        <family val="2"/>
      </rPr>
      <t>1</t>
    </r>
  </si>
  <si>
    <t>Эквивалентное число зубьев колеса</t>
  </si>
  <si>
    <r>
      <t>Z</t>
    </r>
    <r>
      <rPr>
        <vertAlign val="subscript"/>
        <sz val="10"/>
        <rFont val="Symbol"/>
        <family val="1"/>
      </rPr>
      <t>n</t>
    </r>
  </si>
  <si>
    <t>Коэффициент, учитывающий форму зубьев</t>
  </si>
  <si>
    <r>
      <t>Y</t>
    </r>
    <r>
      <rPr>
        <vertAlign val="subscript"/>
        <sz val="10"/>
        <rFont val="Arial Cyr"/>
        <family val="2"/>
      </rPr>
      <t>F</t>
    </r>
  </si>
  <si>
    <t>Расчетные напряжения изгиба у основания зуба</t>
  </si>
  <si>
    <t xml:space="preserve">Допускаемые напряжения изгиба </t>
  </si>
  <si>
    <r>
      <t>d</t>
    </r>
    <r>
      <rPr>
        <b/>
        <vertAlign val="subscript"/>
        <sz val="10"/>
        <rFont val="Arial Cyr"/>
        <family val="2"/>
      </rPr>
      <t>1</t>
    </r>
  </si>
  <si>
    <r>
      <t>d</t>
    </r>
    <r>
      <rPr>
        <b/>
        <vertAlign val="subscript"/>
        <sz val="10"/>
        <rFont val="Arial Cyr"/>
        <family val="2"/>
      </rPr>
      <t>a1</t>
    </r>
  </si>
  <si>
    <r>
      <t>d</t>
    </r>
    <r>
      <rPr>
        <b/>
        <vertAlign val="subscript"/>
        <sz val="10"/>
        <rFont val="Arial Cyr"/>
        <family val="2"/>
      </rPr>
      <t>f1</t>
    </r>
  </si>
  <si>
    <r>
      <t>b</t>
    </r>
    <r>
      <rPr>
        <b/>
        <vertAlign val="subscript"/>
        <sz val="10"/>
        <rFont val="Arial Cyr"/>
        <family val="2"/>
      </rPr>
      <t>1</t>
    </r>
  </si>
  <si>
    <t>Диаметр вершин зубьев червячного колеса</t>
  </si>
  <si>
    <r>
      <t>d</t>
    </r>
    <r>
      <rPr>
        <b/>
        <vertAlign val="subscript"/>
        <sz val="10"/>
        <rFont val="Arial Cyr"/>
        <family val="2"/>
      </rPr>
      <t>a2</t>
    </r>
  </si>
  <si>
    <t>Диаметр впадин зубьев червячного колеса</t>
  </si>
  <si>
    <r>
      <t>d</t>
    </r>
    <r>
      <rPr>
        <b/>
        <vertAlign val="subscript"/>
        <sz val="10"/>
        <rFont val="Arial Cyr"/>
        <family val="2"/>
      </rPr>
      <t>f2</t>
    </r>
  </si>
  <si>
    <r>
      <t>d</t>
    </r>
    <r>
      <rPr>
        <b/>
        <vertAlign val="subscript"/>
        <sz val="10"/>
        <rFont val="Arial Cyr"/>
        <family val="2"/>
      </rPr>
      <t>am2</t>
    </r>
  </si>
  <si>
    <r>
      <t>b</t>
    </r>
    <r>
      <rPr>
        <b/>
        <vertAlign val="subscript"/>
        <sz val="10"/>
        <rFont val="Arial Cyr"/>
        <family val="2"/>
      </rPr>
      <t>2</t>
    </r>
  </si>
  <si>
    <r>
      <t>[</t>
    </r>
    <r>
      <rPr>
        <b/>
        <sz val="12"/>
        <rFont val="Symbol"/>
        <family val="1"/>
      </rPr>
      <t>s</t>
    </r>
    <r>
      <rPr>
        <b/>
        <vertAlign val="subscript"/>
        <sz val="10"/>
        <rFont val="Arial Cyr"/>
        <family val="2"/>
      </rPr>
      <t>H</t>
    </r>
    <r>
      <rPr>
        <b/>
        <sz val="10"/>
        <rFont val="Arial Cyr"/>
        <family val="0"/>
      </rPr>
      <t>]</t>
    </r>
  </si>
  <si>
    <r>
      <t>s</t>
    </r>
    <r>
      <rPr>
        <b/>
        <vertAlign val="subscript"/>
        <sz val="10"/>
        <rFont val="Arial Cyr"/>
        <family val="2"/>
      </rPr>
      <t>H</t>
    </r>
  </si>
  <si>
    <r>
      <t>s</t>
    </r>
    <r>
      <rPr>
        <b/>
        <vertAlign val="subscript"/>
        <sz val="10"/>
        <rFont val="Arial Cyr"/>
        <family val="2"/>
      </rPr>
      <t>F</t>
    </r>
  </si>
  <si>
    <t>Окруж. сила на колесе (осевая сила на червяке)</t>
  </si>
  <si>
    <t>Окруж. сила на червяке (осевая сила на колесе)</t>
  </si>
  <si>
    <t>Длина нарез. части червяка (не менее)</t>
  </si>
  <si>
    <t>Сталь, HRC&lt;45</t>
  </si>
  <si>
    <r>
      <t>n</t>
    </r>
    <r>
      <rPr>
        <vertAlign val="subscript"/>
        <sz val="10"/>
        <rFont val="Arial Cyr"/>
        <family val="2"/>
      </rPr>
      <t>1</t>
    </r>
  </si>
  <si>
    <t>Расчетный ресурс передачи (работа в 1 смену)</t>
  </si>
  <si>
    <t>лет</t>
  </si>
  <si>
    <r>
      <t>u</t>
    </r>
    <r>
      <rPr>
        <b/>
        <vertAlign val="subscript"/>
        <sz val="10"/>
        <color indexed="10"/>
        <rFont val="Arial Cyr"/>
        <family val="2"/>
      </rPr>
      <t>nom</t>
    </r>
  </si>
  <si>
    <t>БрО10Н1Ф1 (центробеж.)</t>
  </si>
  <si>
    <t>БрО10Ф1 (песч. форма)</t>
  </si>
  <si>
    <t>БрО10Ф1 (кокиль)</t>
  </si>
  <si>
    <t>БрО5Ц5С5 (песч. форма)</t>
  </si>
  <si>
    <t>БрО5Ц5С5 (кокиль)</t>
  </si>
  <si>
    <t>БрА9Ж3Л (песч. форма)</t>
  </si>
  <si>
    <t>БрА9Ж3Л (кокиль)</t>
  </si>
  <si>
    <t>БрА10Ж4Н4Л (кокиль)</t>
  </si>
  <si>
    <t>СЧ10 (песч. форма)</t>
  </si>
  <si>
    <t>СЧ15 (песч. форма)</t>
  </si>
  <si>
    <t>СЧ18 (песч. форма)</t>
  </si>
  <si>
    <t>СЧ20 (песч. форма)</t>
  </si>
  <si>
    <r>
      <t>u</t>
    </r>
    <r>
      <rPr>
        <b/>
        <vertAlign val="subscript"/>
        <sz val="10"/>
        <rFont val="Arial Cyr"/>
        <family val="2"/>
      </rPr>
      <t>nom</t>
    </r>
  </si>
  <si>
    <t>об</t>
  </si>
  <si>
    <t>1. Исходные данные:</t>
  </si>
  <si>
    <t>2. Результаты расчетов:</t>
  </si>
  <si>
    <t>Cv</t>
  </si>
  <si>
    <t>Рад. сила, раздвигающая червяк и колесо</t>
  </si>
  <si>
    <r>
      <t>F</t>
    </r>
    <r>
      <rPr>
        <vertAlign val="subscript"/>
        <sz val="10"/>
        <rFont val="Arial Cyr"/>
        <family val="2"/>
      </rPr>
      <t>r1</t>
    </r>
    <r>
      <rPr>
        <sz val="10"/>
        <rFont val="Arial Cyr"/>
        <family val="0"/>
      </rPr>
      <t>=F</t>
    </r>
    <r>
      <rPr>
        <vertAlign val="subscript"/>
        <sz val="10"/>
        <rFont val="Arial Cyr"/>
        <family val="2"/>
      </rPr>
      <t>r2</t>
    </r>
  </si>
  <si>
    <r>
      <t>K</t>
    </r>
    <r>
      <rPr>
        <vertAlign val="subscript"/>
        <sz val="10"/>
        <rFont val="Arial Cyr"/>
        <family val="2"/>
      </rPr>
      <t>HL</t>
    </r>
  </si>
  <si>
    <r>
      <t>K</t>
    </r>
    <r>
      <rPr>
        <vertAlign val="subscript"/>
        <sz val="10"/>
        <rFont val="Arial Cyr"/>
        <family val="2"/>
      </rPr>
      <t>FL</t>
    </r>
  </si>
  <si>
    <r>
      <t>[</t>
    </r>
    <r>
      <rPr>
        <b/>
        <sz val="12"/>
        <rFont val="Symbol"/>
        <family val="1"/>
      </rPr>
      <t>s</t>
    </r>
    <r>
      <rPr>
        <b/>
        <vertAlign val="subscript"/>
        <sz val="10"/>
        <rFont val="Arial Cyr"/>
        <family val="2"/>
      </rPr>
      <t>В</t>
    </r>
    <r>
      <rPr>
        <b/>
        <sz val="10"/>
        <rFont val="Arial Cyr"/>
        <family val="0"/>
      </rPr>
      <t>]</t>
    </r>
  </si>
  <si>
    <r>
      <t>[</t>
    </r>
    <r>
      <rPr>
        <b/>
        <sz val="12"/>
        <rFont val="Symbol"/>
        <family val="1"/>
      </rPr>
      <t>s</t>
    </r>
    <r>
      <rPr>
        <b/>
        <vertAlign val="subscript"/>
        <sz val="10"/>
        <rFont val="Arial Cyr"/>
        <family val="2"/>
      </rPr>
      <t>Т</t>
    </r>
    <r>
      <rPr>
        <b/>
        <sz val="10"/>
        <rFont val="Arial Cyr"/>
        <family val="0"/>
      </rPr>
      <t>]</t>
    </r>
  </si>
  <si>
    <r>
      <t>g</t>
    </r>
    <r>
      <rPr>
        <b/>
        <vertAlign val="subscript"/>
        <sz val="10"/>
        <rFont val="Arial Cyr"/>
        <family val="2"/>
      </rPr>
      <t>w</t>
    </r>
  </si>
  <si>
    <r>
      <t>d</t>
    </r>
    <r>
      <rPr>
        <b/>
        <vertAlign val="subscript"/>
        <sz val="10"/>
        <rFont val="Arial"/>
        <family val="2"/>
      </rPr>
      <t>w1</t>
    </r>
  </si>
  <si>
    <r>
      <t>j</t>
    </r>
    <r>
      <rPr>
        <b/>
        <vertAlign val="subscript"/>
        <sz val="10"/>
        <color indexed="10"/>
        <rFont val="Symbol"/>
        <family val="1"/>
      </rPr>
      <t>1</t>
    </r>
  </si>
  <si>
    <t>К-т долговечности по контактным напряжениям</t>
  </si>
  <si>
    <t>К-т долговечности по изгибным напряжениям</t>
  </si>
  <si>
    <t>График</t>
  </si>
  <si>
    <r>
      <t>Y</t>
    </r>
    <r>
      <rPr>
        <b/>
        <vertAlign val="subscript"/>
        <sz val="10"/>
        <color indexed="10"/>
        <rFont val="Arial Cyr"/>
        <family val="2"/>
      </rPr>
      <t>F</t>
    </r>
  </si>
  <si>
    <r>
      <t>Z</t>
    </r>
    <r>
      <rPr>
        <b/>
        <vertAlign val="subscript"/>
        <sz val="10"/>
        <color indexed="10"/>
        <rFont val="Symbol"/>
        <family val="1"/>
      </rPr>
      <t>n2</t>
    </r>
  </si>
  <si>
    <t>Приведенный угол трения</t>
  </si>
  <si>
    <r>
      <t>j</t>
    </r>
    <r>
      <rPr>
        <vertAlign val="subscript"/>
        <sz val="12"/>
        <rFont val="Symbol"/>
        <family val="1"/>
      </rPr>
      <t>1</t>
    </r>
  </si>
  <si>
    <t>КПД передачи (зацепления)</t>
  </si>
  <si>
    <t>Мощность на валу червяка</t>
  </si>
  <si>
    <r>
      <t>P</t>
    </r>
    <r>
      <rPr>
        <b/>
        <vertAlign val="subscript"/>
        <sz val="10"/>
        <rFont val="Arial Cyr"/>
        <family val="2"/>
      </rPr>
      <t>1</t>
    </r>
  </si>
  <si>
    <t>КВт</t>
  </si>
  <si>
    <r>
      <t>[</t>
    </r>
    <r>
      <rPr>
        <b/>
        <sz val="12"/>
        <rFont val="Symbol"/>
        <family val="1"/>
      </rPr>
      <t>s</t>
    </r>
    <r>
      <rPr>
        <b/>
        <vertAlign val="subscript"/>
        <sz val="10"/>
        <rFont val="Arial Cyr"/>
        <family val="2"/>
      </rPr>
      <t>H</t>
    </r>
    <r>
      <rPr>
        <b/>
        <sz val="10"/>
        <rFont val="Arial Cyr"/>
        <family val="0"/>
      </rPr>
      <t>]</t>
    </r>
    <r>
      <rPr>
        <b/>
        <vertAlign val="subscript"/>
        <sz val="10"/>
        <rFont val="Arial Cyr"/>
        <family val="2"/>
      </rPr>
      <t>п</t>
    </r>
  </si>
  <si>
    <t>Перегрузка по изгибным напряжениям</t>
  </si>
  <si>
    <t>Перегрузка по контактным напряжениям</t>
  </si>
  <si>
    <t>1.2</t>
  </si>
  <si>
    <t>1.4</t>
  </si>
  <si>
    <t>1.6</t>
  </si>
  <si>
    <t>2.1</t>
  </si>
  <si>
    <t>2.11</t>
  </si>
  <si>
    <t>2.12</t>
  </si>
  <si>
    <t>2.7 и 2.30</t>
  </si>
  <si>
    <t>2.15</t>
  </si>
  <si>
    <t>2.18</t>
  </si>
  <si>
    <t>2.20</t>
  </si>
  <si>
    <t>2.35</t>
  </si>
  <si>
    <t>2.40</t>
  </si>
  <si>
    <t>Ширина венца колеса (не более)</t>
  </si>
  <si>
    <t>Самоторможение передачи (теоретически)</t>
  </si>
  <si>
    <t>Самоторможение передачи (практически)</t>
  </si>
  <si>
    <t>2d</t>
  </si>
  <si>
    <t>Усл. угол обхвата червяка (не более)</t>
  </si>
  <si>
    <t>База данных для расчета.</t>
  </si>
  <si>
    <r>
      <t>ds</t>
    </r>
    <r>
      <rPr>
        <b/>
        <vertAlign val="subscript"/>
        <sz val="10"/>
        <color indexed="10"/>
        <rFont val="Arial Cyr"/>
        <family val="2"/>
      </rPr>
      <t>H</t>
    </r>
  </si>
  <si>
    <r>
      <t>ds</t>
    </r>
    <r>
      <rPr>
        <b/>
        <vertAlign val="subscript"/>
        <sz val="10"/>
        <color indexed="10"/>
        <rFont val="Arial Cyr"/>
        <family val="2"/>
      </rPr>
      <t>F</t>
    </r>
  </si>
  <si>
    <r>
      <t>m</t>
    </r>
    <r>
      <rPr>
        <b/>
        <vertAlign val="subscript"/>
        <sz val="10"/>
        <color indexed="10"/>
        <rFont val="Arial Cyr"/>
        <family val="2"/>
      </rPr>
      <t>min</t>
    </r>
  </si>
  <si>
    <r>
      <t>m</t>
    </r>
    <r>
      <rPr>
        <b/>
        <vertAlign val="subscript"/>
        <sz val="10"/>
        <color indexed="10"/>
        <rFont val="Arial Cyr"/>
        <family val="2"/>
      </rPr>
      <t>max</t>
    </r>
  </si>
  <si>
    <t>Коэффициент динамичности</t>
  </si>
  <si>
    <t>Коэффициент интенсивности износа</t>
  </si>
  <si>
    <t>Степень точности передачи (рекомендуемая)</t>
  </si>
  <si>
    <t>Номинальное передаточное число передачи</t>
  </si>
  <si>
    <t>Вращающий момент на валу червячного колеса</t>
  </si>
  <si>
    <t>Коэффициент реверсивности передачи</t>
  </si>
  <si>
    <t>Допускаемые контактные напряжения (предварит.)</t>
  </si>
  <si>
    <t>Коэффициент диаметра червяка</t>
  </si>
  <si>
    <t>Коэффициент смещения червячного колеса</t>
  </si>
  <si>
    <t>Справочная информация.</t>
  </si>
  <si>
    <t>1.1</t>
  </si>
  <si>
    <r>
      <t>z</t>
    </r>
    <r>
      <rPr>
        <vertAlign val="subscript"/>
        <sz val="10"/>
        <color indexed="10"/>
        <rFont val="Arial Cyr"/>
        <family val="2"/>
      </rPr>
      <t>1</t>
    </r>
  </si>
  <si>
    <r>
      <t>m</t>
    </r>
    <r>
      <rPr>
        <b/>
        <vertAlign val="subscript"/>
        <sz val="10"/>
        <color indexed="10"/>
        <rFont val="Arial Cyr"/>
        <family val="2"/>
      </rPr>
      <t>расч</t>
    </r>
  </si>
  <si>
    <r>
      <t>q</t>
    </r>
    <r>
      <rPr>
        <b/>
        <vertAlign val="subscript"/>
        <sz val="10"/>
        <color indexed="10"/>
        <rFont val="Arial Cyr"/>
        <family val="2"/>
      </rPr>
      <t>расч</t>
    </r>
  </si>
  <si>
    <t>Витки</t>
  </si>
  <si>
    <t>2.3</t>
  </si>
  <si>
    <t>2.5</t>
  </si>
  <si>
    <r>
      <t>b</t>
    </r>
    <r>
      <rPr>
        <b/>
        <vertAlign val="subscript"/>
        <sz val="10"/>
        <color indexed="10"/>
        <rFont val="Arial Cyr"/>
        <family val="2"/>
      </rPr>
      <t>1</t>
    </r>
  </si>
  <si>
    <t>База данных для расчетов.</t>
  </si>
  <si>
    <t>Справка.</t>
  </si>
  <si>
    <t>Режим работы передачи</t>
  </si>
  <si>
    <t>Реверсивный</t>
  </si>
  <si>
    <t>Нереверсивный</t>
  </si>
  <si>
    <t>Режим работы</t>
  </si>
  <si>
    <t>1.3</t>
  </si>
  <si>
    <t>1.7</t>
  </si>
  <si>
    <r>
      <t>Z</t>
    </r>
    <r>
      <rPr>
        <b/>
        <vertAlign val="subscript"/>
        <sz val="12"/>
        <color indexed="10"/>
        <rFont val="Arial Cyr"/>
        <family val="2"/>
      </rPr>
      <t>1</t>
    </r>
  </si>
  <si>
    <t>1.8</t>
  </si>
  <si>
    <t>1.10</t>
  </si>
  <si>
    <r>
      <t>Z</t>
    </r>
    <r>
      <rPr>
        <b/>
        <vertAlign val="subscript"/>
        <sz val="10"/>
        <color indexed="10"/>
        <rFont val="Arial Cyr"/>
        <family val="2"/>
      </rPr>
      <t>2</t>
    </r>
  </si>
  <si>
    <r>
      <t>[</t>
    </r>
    <r>
      <rPr>
        <b/>
        <sz val="12"/>
        <rFont val="Symbol"/>
        <family val="1"/>
      </rPr>
      <t>s</t>
    </r>
    <r>
      <rPr>
        <b/>
        <vertAlign val="subscript"/>
        <sz val="10"/>
        <rFont val="Arial Cyr"/>
        <family val="2"/>
      </rPr>
      <t>F</t>
    </r>
    <r>
      <rPr>
        <b/>
        <sz val="10"/>
        <rFont val="Arial Cyr"/>
        <family val="0"/>
      </rPr>
      <t>]</t>
    </r>
  </si>
  <si>
    <t>Вращающий момент на валу червяка (не более)</t>
  </si>
  <si>
    <t>Вращающий момент на валу колеса (не более)</t>
  </si>
  <si>
    <t>Мощность на валу червяка (не более)</t>
  </si>
  <si>
    <r>
      <t>Т</t>
    </r>
    <r>
      <rPr>
        <b/>
        <vertAlign val="subscript"/>
        <sz val="10"/>
        <rFont val="Arial Cyr"/>
        <family val="2"/>
      </rPr>
      <t>2</t>
    </r>
  </si>
  <si>
    <t>2.9</t>
  </si>
  <si>
    <t>2.13</t>
  </si>
  <si>
    <t>2.14</t>
  </si>
  <si>
    <t>2.23</t>
  </si>
  <si>
    <t>2.28</t>
  </si>
  <si>
    <r>
      <t xml:space="preserve">Проект-2.                       </t>
    </r>
    <r>
      <rPr>
        <b/>
        <u val="single"/>
        <sz val="12"/>
        <color indexed="20"/>
        <rFont val="Arial Cyr"/>
        <family val="2"/>
      </rPr>
      <t>Расчет цилиндрической червячной передачи с архимедовым червяком (ZA).</t>
    </r>
  </si>
  <si>
    <r>
      <t xml:space="preserve">Проект-1.                       </t>
    </r>
    <r>
      <rPr>
        <b/>
        <u val="single"/>
        <sz val="12"/>
        <color indexed="20"/>
        <rFont val="Arial Cyr"/>
        <family val="2"/>
      </rPr>
      <t>Расчет цилиндрической червячной передачи с архимедовым червяком (ZA).</t>
    </r>
  </si>
  <si>
    <t xml:space="preserve">Проект-1 (табл.).  </t>
  </si>
  <si>
    <t>Расчет цилиндрической червячной
передачи с архимедовым червяком (ZA).</t>
  </si>
  <si>
    <t>Проект-2 (табл.).</t>
  </si>
  <si>
    <t>Ремонт (табл.).</t>
  </si>
  <si>
    <t>Геометрический расчет
цилиндрической червячной передачи
с архимедовым червяком (ZA).</t>
  </si>
  <si>
    <t>Число заходов сопряженного червяка</t>
  </si>
  <si>
    <t>Ремонт.</t>
  </si>
  <si>
    <t>Червячная фреза для нарезки колеса должна полностью имитировать червяк !!!</t>
  </si>
  <si>
    <t>Коэффициент диаметра червяка (предварит.)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</si>
</sst>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E+00"/>
    <numFmt numFmtId="168" formatCode="0.0"/>
    <numFmt numFmtId="169" formatCode="0.000"/>
    <numFmt numFmtId="170" formatCode="0.0%"/>
    <numFmt numFmtId="171" formatCode="0.000000"/>
    <numFmt numFmtId="172" formatCode="#,##0.000"/>
  </numFmts>
  <fonts count="49">
    <font>
      <sz val="10"/>
      <name val="Arial Cyr"/>
      <family val="0"/>
    </font>
    <font>
      <sz val="8"/>
      <name val="Tahoma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sz val="10"/>
      <name val="Arial"/>
      <family val="2"/>
    </font>
    <font>
      <vertAlign val="subscript"/>
      <sz val="10"/>
      <name val="Symbol"/>
      <family val="1"/>
    </font>
    <font>
      <vertAlign val="subscript"/>
      <sz val="10"/>
      <name val="Arial Cyr"/>
      <family val="2"/>
    </font>
    <font>
      <sz val="12"/>
      <name val="Symbol"/>
      <family val="1"/>
    </font>
    <font>
      <b/>
      <sz val="8"/>
      <name val="Tahoma"/>
      <family val="2"/>
    </font>
    <font>
      <b/>
      <sz val="12"/>
      <color indexed="10"/>
      <name val="Symbol"/>
      <family val="1"/>
    </font>
    <font>
      <b/>
      <vertAlign val="subscript"/>
      <sz val="10"/>
      <color indexed="10"/>
      <name val="Arial Cyr"/>
      <family val="2"/>
    </font>
    <font>
      <b/>
      <sz val="10"/>
      <color indexed="12"/>
      <name val="Arial Cyr"/>
      <family val="2"/>
    </font>
    <font>
      <b/>
      <vertAlign val="subscript"/>
      <sz val="10"/>
      <color indexed="12"/>
      <name val="Arial Cyr"/>
      <family val="2"/>
    </font>
    <font>
      <b/>
      <i/>
      <u val="single"/>
      <sz val="11"/>
      <color indexed="20"/>
      <name val="Arial Cyr"/>
      <family val="2"/>
    </font>
    <font>
      <b/>
      <sz val="10"/>
      <color indexed="10"/>
      <name val="Symbol"/>
      <family val="1"/>
    </font>
    <font>
      <b/>
      <vertAlign val="superscript"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2"/>
      <color indexed="20"/>
      <name val="Arial Cyr"/>
      <family val="2"/>
    </font>
    <font>
      <b/>
      <sz val="10"/>
      <color indexed="12"/>
      <name val="Symbol"/>
      <family val="1"/>
    </font>
    <font>
      <b/>
      <vertAlign val="superscript"/>
      <sz val="10"/>
      <color indexed="12"/>
      <name val="Arial Cyr"/>
      <family val="2"/>
    </font>
    <font>
      <b/>
      <u val="single"/>
      <sz val="12"/>
      <color indexed="20"/>
      <name val="Arial Cyr"/>
      <family val="2"/>
    </font>
    <font>
      <b/>
      <sz val="12"/>
      <name val="Arial Black"/>
      <family val="2"/>
    </font>
    <font>
      <b/>
      <vertAlign val="subscript"/>
      <sz val="10"/>
      <name val="Arial Cyr"/>
      <family val="2"/>
    </font>
    <font>
      <b/>
      <sz val="10"/>
      <name val="Symbol"/>
      <family val="1"/>
    </font>
    <font>
      <b/>
      <vertAlign val="subscript"/>
      <sz val="10"/>
      <color indexed="10"/>
      <name val="Symbol"/>
      <family val="1"/>
    </font>
    <font>
      <b/>
      <sz val="10"/>
      <name val="Arial"/>
      <family val="2"/>
    </font>
    <font>
      <vertAlign val="superscript"/>
      <sz val="10"/>
      <name val="Arial Cyr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 Cyr"/>
      <family val="2"/>
    </font>
    <font>
      <b/>
      <i/>
      <u val="single"/>
      <sz val="11"/>
      <name val="Arial Cyr"/>
      <family val="2"/>
    </font>
    <font>
      <b/>
      <sz val="11.25"/>
      <name val="Arial Cyr"/>
      <family val="0"/>
    </font>
    <font>
      <b/>
      <sz val="10.25"/>
      <name val="Arial Cyr"/>
      <family val="0"/>
    </font>
    <font>
      <sz val="10.25"/>
      <name val="Arial Cyr"/>
      <family val="0"/>
    </font>
    <font>
      <b/>
      <sz val="12"/>
      <name val="Symbol"/>
      <family val="1"/>
    </font>
    <font>
      <vertAlign val="superscript"/>
      <sz val="8"/>
      <name val="Arial Cyr"/>
      <family val="0"/>
    </font>
    <font>
      <b/>
      <sz val="8.75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vertAlign val="subscript"/>
      <sz val="12"/>
      <name val="Symbol"/>
      <family val="1"/>
    </font>
    <font>
      <b/>
      <vertAlign val="subscript"/>
      <sz val="8"/>
      <name val="Tahoma"/>
      <family val="2"/>
    </font>
    <font>
      <sz val="10"/>
      <color indexed="48"/>
      <name val="Arial Cyr"/>
      <family val="2"/>
    </font>
    <font>
      <b/>
      <sz val="10"/>
      <color indexed="9"/>
      <name val="Arial Cyr"/>
      <family val="2"/>
    </font>
    <font>
      <vertAlign val="superscript"/>
      <sz val="10.25"/>
      <name val="Arial Cyr"/>
      <family val="0"/>
    </font>
    <font>
      <sz val="9.5"/>
      <name val="Arial Cyr"/>
      <family val="0"/>
    </font>
    <font>
      <vertAlign val="subscript"/>
      <sz val="10"/>
      <color indexed="10"/>
      <name val="Arial Cyr"/>
      <family val="2"/>
    </font>
    <font>
      <b/>
      <sz val="12"/>
      <color indexed="10"/>
      <name val="Arial Cyr"/>
      <family val="2"/>
    </font>
    <font>
      <b/>
      <vertAlign val="subscript"/>
      <sz val="12"/>
      <color indexed="10"/>
      <name val="Arial Cyr"/>
      <family val="2"/>
    </font>
    <font>
      <b/>
      <sz val="10"/>
      <name val="Tahoma"/>
      <family val="2"/>
    </font>
    <font>
      <b/>
      <sz val="12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169" fontId="3" fillId="3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169" fontId="11" fillId="3" borderId="4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69" fontId="3" fillId="3" borderId="12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169" fontId="3" fillId="3" borderId="15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169" fontId="11" fillId="3" borderId="12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169" fontId="11" fillId="3" borderId="15" xfId="0" applyNumberFormat="1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69" fontId="11" fillId="3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4" xfId="0" applyFont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0" fontId="11" fillId="0" borderId="17" xfId="0" applyFont="1" applyBorder="1" applyAlignment="1">
      <alignment horizontal="center"/>
    </xf>
    <xf numFmtId="169" fontId="11" fillId="3" borderId="17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169" fontId="3" fillId="3" borderId="7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1" fontId="3" fillId="3" borderId="5" xfId="0" applyNumberFormat="1" applyFont="1" applyFill="1" applyBorder="1" applyAlignment="1">
      <alignment horizontal="center"/>
    </xf>
    <xf numFmtId="169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1" fontId="3" fillId="4" borderId="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169" fontId="3" fillId="3" borderId="23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1" fontId="3" fillId="3" borderId="6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9" fontId="3" fillId="3" borderId="29" xfId="0" applyNumberFormat="1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4" borderId="7" xfId="0" applyFon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3" fillId="0" borderId="3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16" fillId="5" borderId="4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16" fillId="0" borderId="39" xfId="0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1" fillId="2" borderId="22" xfId="0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0" fillId="3" borderId="43" xfId="0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0" fillId="3" borderId="44" xfId="0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left"/>
      <protection/>
    </xf>
    <xf numFmtId="168" fontId="0" fillId="2" borderId="25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" fillId="3" borderId="11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3" fillId="0" borderId="12" xfId="0" applyFont="1" applyBorder="1" applyAlignment="1" applyProtection="1">
      <alignment horizontal="center"/>
      <protection/>
    </xf>
    <xf numFmtId="169" fontId="2" fillId="3" borderId="12" xfId="0" applyNumberFormat="1" applyFont="1" applyFill="1" applyBorder="1" applyAlignment="1" applyProtection="1">
      <alignment horizontal="center"/>
      <protection/>
    </xf>
    <xf numFmtId="0" fontId="28" fillId="0" borderId="7" xfId="0" applyFont="1" applyBorder="1" applyAlignment="1" applyProtection="1">
      <alignment horizontal="left"/>
      <protection/>
    </xf>
    <xf numFmtId="49" fontId="2" fillId="0" borderId="1" xfId="0" applyNumberFormat="1" applyFont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49" fontId="2" fillId="0" borderId="45" xfId="0" applyNumberFormat="1" applyFont="1" applyBorder="1" applyAlignment="1" applyProtection="1">
      <alignment horizontal="center"/>
      <protection/>
    </xf>
    <xf numFmtId="49" fontId="2" fillId="0" borderId="46" xfId="0" applyNumberFormat="1" applyFont="1" applyBorder="1" applyAlignment="1" applyProtection="1">
      <alignment horizontal="center"/>
      <protection/>
    </xf>
    <xf numFmtId="49" fontId="2" fillId="0" borderId="47" xfId="0" applyNumberFormat="1" applyFont="1" applyBorder="1" applyAlignment="1" applyProtection="1">
      <alignment horizontal="center"/>
      <protection/>
    </xf>
    <xf numFmtId="49" fontId="2" fillId="0" borderId="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2" fillId="3" borderId="14" xfId="0" applyFont="1" applyFill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3" fillId="0" borderId="15" xfId="0" applyFont="1" applyBorder="1" applyAlignment="1" applyProtection="1">
      <alignment horizontal="center"/>
      <protection/>
    </xf>
    <xf numFmtId="169" fontId="2" fillId="3" borderId="15" xfId="0" applyNumberFormat="1" applyFont="1" applyFill="1" applyBorder="1" applyAlignment="1" applyProtection="1">
      <alignment horizontal="center"/>
      <protection/>
    </xf>
    <xf numFmtId="0" fontId="28" fillId="0" borderId="6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4" borderId="11" xfId="0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25" fillId="0" borderId="12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2" fillId="3" borderId="27" xfId="0" applyFont="1" applyFill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 vertical="top" wrapText="1"/>
      <protection/>
    </xf>
    <xf numFmtId="0" fontId="25" fillId="0" borderId="28" xfId="0" applyFont="1" applyBorder="1" applyAlignment="1" applyProtection="1">
      <alignment horizontal="center"/>
      <protection/>
    </xf>
    <xf numFmtId="169" fontId="2" fillId="3" borderId="28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51" xfId="0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center"/>
      <protection/>
    </xf>
    <xf numFmtId="0" fontId="3" fillId="0" borderId="51" xfId="0" applyFont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14" fillId="0" borderId="30" xfId="0" applyFont="1" applyFill="1" applyBorder="1" applyAlignment="1" applyProtection="1">
      <alignment horizontal="center"/>
      <protection/>
    </xf>
    <xf numFmtId="0" fontId="3" fillId="0" borderId="52" xfId="0" applyFont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3" borderId="11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 horizontal="center"/>
      <protection/>
    </xf>
    <xf numFmtId="168" fontId="0" fillId="3" borderId="12" xfId="0" applyNumberFormat="1" applyFont="1" applyFill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/>
      <protection/>
    </xf>
    <xf numFmtId="0" fontId="0" fillId="4" borderId="36" xfId="0" applyFill="1" applyBorder="1" applyAlignment="1" applyProtection="1">
      <alignment horizontal="center"/>
      <protection/>
    </xf>
    <xf numFmtId="0" fontId="0" fillId="2" borderId="39" xfId="0" applyFill="1" applyBorder="1" applyAlignment="1" applyProtection="1">
      <alignment horizontal="center"/>
      <protection/>
    </xf>
    <xf numFmtId="0" fontId="2" fillId="4" borderId="11" xfId="0" applyFont="1" applyFill="1" applyBorder="1" applyAlignment="1" applyProtection="1">
      <alignment horizontal="center"/>
      <protection/>
    </xf>
    <xf numFmtId="0" fontId="2" fillId="4" borderId="34" xfId="0" applyFont="1" applyFill="1" applyBorder="1" applyAlignment="1" applyProtection="1">
      <alignment horizontal="center"/>
      <protection/>
    </xf>
    <xf numFmtId="0" fontId="0" fillId="2" borderId="11" xfId="0" applyFont="1" applyFill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2" fillId="2" borderId="34" xfId="0" applyFont="1" applyFill="1" applyBorder="1" applyAlignment="1" applyProtection="1">
      <alignment horizontal="center"/>
      <protection/>
    </xf>
    <xf numFmtId="2" fontId="0" fillId="3" borderId="34" xfId="0" applyNumberFormat="1" applyFill="1" applyBorder="1" applyAlignment="1" applyProtection="1">
      <alignment horizontal="center"/>
      <protection/>
    </xf>
    <xf numFmtId="0" fontId="3" fillId="4" borderId="11" xfId="0" applyFont="1" applyFill="1" applyBorder="1" applyAlignment="1" applyProtection="1">
      <alignment horizontal="center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3" fillId="4" borderId="8" xfId="0" applyFont="1" applyFill="1" applyBorder="1" applyAlignment="1" applyProtection="1">
      <alignment horizontal="center"/>
      <protection/>
    </xf>
    <xf numFmtId="0" fontId="2" fillId="4" borderId="7" xfId="0" applyFont="1" applyFill="1" applyBorder="1" applyAlignment="1" applyProtection="1">
      <alignment horizontal="center"/>
      <protection/>
    </xf>
    <xf numFmtId="1" fontId="2" fillId="4" borderId="8" xfId="0" applyNumberFormat="1" applyFont="1" applyFill="1" applyBorder="1" applyAlignment="1" applyProtection="1">
      <alignment horizontal="center"/>
      <protection/>
    </xf>
    <xf numFmtId="169" fontId="2" fillId="4" borderId="7" xfId="0" applyNumberFormat="1" applyFont="1" applyFill="1" applyBorder="1" applyAlignment="1" applyProtection="1">
      <alignment horizontal="center"/>
      <protection/>
    </xf>
    <xf numFmtId="169" fontId="2" fillId="4" borderId="11" xfId="0" applyNumberFormat="1" applyFont="1" applyFill="1" applyBorder="1" applyAlignment="1" applyProtection="1">
      <alignment horizontal="center"/>
      <protection/>
    </xf>
    <xf numFmtId="2" fontId="2" fillId="4" borderId="7" xfId="0" applyNumberFormat="1" applyFont="1" applyFill="1" applyBorder="1" applyAlignment="1" applyProtection="1">
      <alignment horizontal="center"/>
      <protection/>
    </xf>
    <xf numFmtId="1" fontId="2" fillId="2" borderId="11" xfId="0" applyNumberFormat="1" applyFont="1" applyFill="1" applyBorder="1" applyAlignment="1" applyProtection="1">
      <alignment horizontal="center"/>
      <protection/>
    </xf>
    <xf numFmtId="2" fontId="2" fillId="3" borderId="12" xfId="0" applyNumberFormat="1" applyFont="1" applyFill="1" applyBorder="1" applyAlignment="1" applyProtection="1">
      <alignment horizontal="center"/>
      <protection/>
    </xf>
    <xf numFmtId="2" fontId="2" fillId="2" borderId="12" xfId="0" applyNumberFormat="1" applyFont="1" applyFill="1" applyBorder="1" applyAlignment="1" applyProtection="1">
      <alignment horizontal="center"/>
      <protection/>
    </xf>
    <xf numFmtId="2" fontId="2" fillId="2" borderId="7" xfId="0" applyNumberFormat="1" applyFont="1" applyFill="1" applyBorder="1" applyAlignment="1" applyProtection="1">
      <alignment horizontal="center"/>
      <protection/>
    </xf>
    <xf numFmtId="2" fontId="3" fillId="2" borderId="12" xfId="0" applyNumberFormat="1" applyFont="1" applyFill="1" applyBorder="1" applyAlignment="1" applyProtection="1">
      <alignment horizontal="center"/>
      <protection/>
    </xf>
    <xf numFmtId="2" fontId="3" fillId="2" borderId="7" xfId="0" applyNumberFormat="1" applyFont="1" applyFill="1" applyBorder="1" applyAlignment="1" applyProtection="1">
      <alignment horizontal="center"/>
      <protection/>
    </xf>
    <xf numFmtId="0" fontId="2" fillId="2" borderId="14" xfId="0" applyFont="1" applyFill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2" borderId="15" xfId="0" applyFont="1" applyFill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0" fillId="3" borderId="13" xfId="0" applyFont="1" applyFill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/>
      <protection/>
    </xf>
    <xf numFmtId="168" fontId="0" fillId="3" borderId="4" xfId="0" applyNumberForma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4" borderId="35" xfId="0" applyFill="1" applyBorder="1" applyAlignment="1" applyProtection="1">
      <alignment horizontal="center"/>
      <protection/>
    </xf>
    <xf numFmtId="0" fontId="0" fillId="2" borderId="53" xfId="0" applyFill="1" applyBorder="1" applyAlignment="1" applyProtection="1">
      <alignment horizontal="center"/>
      <protection/>
    </xf>
    <xf numFmtId="0" fontId="0" fillId="4" borderId="13" xfId="0" applyFill="1" applyBorder="1" applyAlignment="1" applyProtection="1">
      <alignment horizontal="center"/>
      <protection/>
    </xf>
    <xf numFmtId="0" fontId="0" fillId="4" borderId="33" xfId="0" applyFill="1" applyBorder="1" applyAlignment="1" applyProtection="1">
      <alignment horizontal="center"/>
      <protection/>
    </xf>
    <xf numFmtId="0" fontId="0" fillId="2" borderId="13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2" fillId="2" borderId="33" xfId="0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2" fontId="0" fillId="3" borderId="33" xfId="0" applyNumberFormat="1" applyFill="1" applyBorder="1" applyAlignment="1" applyProtection="1">
      <alignment horizontal="center"/>
      <protection/>
    </xf>
    <xf numFmtId="0" fontId="2" fillId="4" borderId="21" xfId="0" applyFont="1" applyFill="1" applyBorder="1" applyAlignment="1" applyProtection="1">
      <alignment horizontal="center"/>
      <protection/>
    </xf>
    <xf numFmtId="0" fontId="2" fillId="4" borderId="41" xfId="0" applyFont="1" applyFill="1" applyBorder="1" applyAlignment="1" applyProtection="1">
      <alignment horizontal="center"/>
      <protection/>
    </xf>
    <xf numFmtId="0" fontId="2" fillId="4" borderId="42" xfId="0" applyFont="1" applyFill="1" applyBorder="1" applyAlignment="1" applyProtection="1">
      <alignment horizontal="center"/>
      <protection/>
    </xf>
    <xf numFmtId="0" fontId="2" fillId="4" borderId="9" xfId="0" applyFont="1" applyFill="1" applyBorder="1" applyAlignment="1" applyProtection="1">
      <alignment horizontal="center"/>
      <protection/>
    </xf>
    <xf numFmtId="0" fontId="2" fillId="4" borderId="5" xfId="0" applyFont="1" applyFill="1" applyBorder="1" applyAlignment="1" applyProtection="1">
      <alignment horizontal="center"/>
      <protection/>
    </xf>
    <xf numFmtId="1" fontId="0" fillId="4" borderId="9" xfId="0" applyNumberFormat="1" applyFont="1" applyFill="1" applyBorder="1" applyAlignment="1" applyProtection="1">
      <alignment horizontal="center"/>
      <protection/>
    </xf>
    <xf numFmtId="169" fontId="0" fillId="4" borderId="5" xfId="0" applyNumberFormat="1" applyFont="1" applyFill="1" applyBorder="1" applyAlignment="1" applyProtection="1">
      <alignment horizontal="center"/>
      <protection/>
    </xf>
    <xf numFmtId="169" fontId="0" fillId="4" borderId="21" xfId="0" applyNumberFormat="1" applyFont="1" applyFill="1" applyBorder="1" applyAlignment="1" applyProtection="1">
      <alignment horizontal="center"/>
      <protection/>
    </xf>
    <xf numFmtId="2" fontId="0" fillId="3" borderId="23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1" fontId="2" fillId="2" borderId="13" xfId="0" applyNumberFormat="1" applyFont="1" applyFill="1" applyBorder="1" applyAlignment="1" applyProtection="1">
      <alignment horizontal="center"/>
      <protection/>
    </xf>
    <xf numFmtId="2" fontId="2" fillId="3" borderId="4" xfId="0" applyNumberFormat="1" applyFont="1" applyFill="1" applyBorder="1" applyAlignment="1" applyProtection="1">
      <alignment horizontal="center"/>
      <protection/>
    </xf>
    <xf numFmtId="2" fontId="2" fillId="2" borderId="4" xfId="0" applyNumberFormat="1" applyFont="1" applyFill="1" applyBorder="1" applyAlignment="1" applyProtection="1">
      <alignment horizontal="center"/>
      <protection/>
    </xf>
    <xf numFmtId="2" fontId="2" fillId="2" borderId="5" xfId="0" applyNumberFormat="1" applyFont="1" applyFill="1" applyBorder="1" applyAlignment="1" applyProtection="1">
      <alignment horizontal="center"/>
      <protection/>
    </xf>
    <xf numFmtId="2" fontId="3" fillId="2" borderId="5" xfId="0" applyNumberFormat="1" applyFont="1" applyFill="1" applyBorder="1" applyAlignment="1" applyProtection="1">
      <alignment horizontal="center"/>
      <protection/>
    </xf>
    <xf numFmtId="0" fontId="2" fillId="4" borderId="16" xfId="0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4" xfId="0" applyFont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center"/>
      <protection/>
    </xf>
    <xf numFmtId="0" fontId="2" fillId="4" borderId="33" xfId="0" applyFont="1" applyFill="1" applyBorder="1" applyAlignment="1" applyProtection="1">
      <alignment horizontal="center"/>
      <protection/>
    </xf>
    <xf numFmtId="0" fontId="0" fillId="4" borderId="13" xfId="0" applyFont="1" applyFill="1" applyBorder="1" applyAlignment="1" applyProtection="1">
      <alignment horizontal="center"/>
      <protection/>
    </xf>
    <xf numFmtId="0" fontId="3" fillId="4" borderId="9" xfId="0" applyFont="1" applyFill="1" applyBorder="1" applyAlignment="1" applyProtection="1">
      <alignment horizontal="center"/>
      <protection/>
    </xf>
    <xf numFmtId="1" fontId="41" fillId="6" borderId="13" xfId="0" applyNumberFormat="1" applyFont="1" applyFill="1" applyBorder="1" applyAlignment="1" applyProtection="1">
      <alignment horizontal="center"/>
      <protection/>
    </xf>
    <xf numFmtId="2" fontId="41" fillId="6" borderId="4" xfId="0" applyNumberFormat="1" applyFont="1" applyFill="1" applyBorder="1" applyAlignment="1" applyProtection="1">
      <alignment horizontal="center"/>
      <protection/>
    </xf>
    <xf numFmtId="2" fontId="41" fillId="6" borderId="5" xfId="0" applyNumberFormat="1" applyFont="1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/>
      <protection/>
    </xf>
    <xf numFmtId="0" fontId="16" fillId="0" borderId="4" xfId="0" applyFont="1" applyFill="1" applyBorder="1" applyAlignment="1" applyProtection="1">
      <alignment horizontal="center"/>
      <protection/>
    </xf>
    <xf numFmtId="0" fontId="0" fillId="7" borderId="33" xfId="0" applyFill="1" applyBorder="1" applyAlignment="1" applyProtection="1">
      <alignment horizontal="center"/>
      <protection/>
    </xf>
    <xf numFmtId="1" fontId="2" fillId="4" borderId="9" xfId="0" applyNumberFormat="1" applyFont="1" applyFill="1" applyBorder="1" applyAlignment="1" applyProtection="1">
      <alignment horizontal="center"/>
      <protection/>
    </xf>
    <xf numFmtId="169" fontId="2" fillId="4" borderId="5" xfId="0" applyNumberFormat="1" applyFont="1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2" fontId="0" fillId="3" borderId="4" xfId="0" applyNumberFormat="1" applyFill="1" applyBorder="1" applyAlignment="1" applyProtection="1">
      <alignment horizontal="center"/>
      <protection/>
    </xf>
    <xf numFmtId="0" fontId="0" fillId="2" borderId="48" xfId="0" applyFill="1" applyBorder="1" applyAlignment="1" applyProtection="1">
      <alignment horizontal="center"/>
      <protection/>
    </xf>
    <xf numFmtId="0" fontId="0" fillId="2" borderId="14" xfId="0" applyFont="1" applyFill="1" applyBorder="1" applyAlignment="1" applyProtection="1">
      <alignment horizontal="center"/>
      <protection/>
    </xf>
    <xf numFmtId="0" fontId="2" fillId="2" borderId="32" xfId="0" applyFont="1" applyFill="1" applyBorder="1" applyAlignment="1" applyProtection="1">
      <alignment horizontal="center"/>
      <protection/>
    </xf>
    <xf numFmtId="0" fontId="0" fillId="2" borderId="16" xfId="0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2" fillId="3" borderId="13" xfId="0" applyFont="1" applyFill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 vertical="top" wrapText="1"/>
      <protection/>
    </xf>
    <xf numFmtId="0" fontId="2" fillId="0" borderId="4" xfId="0" applyFont="1" applyFill="1" applyBorder="1" applyAlignment="1" applyProtection="1">
      <alignment horizontal="center"/>
      <protection/>
    </xf>
    <xf numFmtId="168" fontId="2" fillId="3" borderId="4" xfId="0" applyNumberFormat="1" applyFont="1" applyFill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/>
      <protection/>
    </xf>
    <xf numFmtId="0" fontId="0" fillId="2" borderId="21" xfId="0" applyFont="1" applyFill="1" applyBorder="1" applyAlignment="1" applyProtection="1">
      <alignment horizontal="center"/>
      <protection/>
    </xf>
    <xf numFmtId="0" fontId="2" fillId="2" borderId="22" xfId="0" applyFont="1" applyFill="1" applyBorder="1" applyAlignment="1" applyProtection="1">
      <alignment horizontal="center"/>
      <protection/>
    </xf>
    <xf numFmtId="0" fontId="2" fillId="2" borderId="41" xfId="0" applyFont="1" applyFill="1" applyBorder="1" applyAlignment="1" applyProtection="1">
      <alignment horizontal="center"/>
      <protection/>
    </xf>
    <xf numFmtId="0" fontId="0" fillId="2" borderId="24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33" fillId="0" borderId="4" xfId="0" applyFont="1" applyFill="1" applyBorder="1" applyAlignment="1" applyProtection="1">
      <alignment horizontal="center"/>
      <protection/>
    </xf>
    <xf numFmtId="168" fontId="0" fillId="0" borderId="0" xfId="0" applyNumberFormat="1" applyBorder="1" applyAlignment="1" applyProtection="1">
      <alignment/>
      <protection/>
    </xf>
    <xf numFmtId="0" fontId="2" fillId="0" borderId="28" xfId="0" applyFont="1" applyFill="1" applyBorder="1" applyAlignment="1" applyProtection="1">
      <alignment horizontal="left" vertical="top" wrapText="1"/>
      <protection/>
    </xf>
    <xf numFmtId="0" fontId="9" fillId="0" borderId="28" xfId="0" applyFont="1" applyFill="1" applyBorder="1" applyAlignment="1" applyProtection="1">
      <alignment horizontal="center"/>
      <protection/>
    </xf>
    <xf numFmtId="168" fontId="2" fillId="3" borderId="28" xfId="0" applyNumberFormat="1" applyFont="1" applyFill="1" applyBorder="1" applyAlignment="1" applyProtection="1">
      <alignment horizontal="center"/>
      <protection/>
    </xf>
    <xf numFmtId="0" fontId="0" fillId="4" borderId="14" xfId="0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horizontal="center"/>
      <protection/>
    </xf>
    <xf numFmtId="2" fontId="0" fillId="3" borderId="32" xfId="0" applyNumberFormat="1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" fontId="0" fillId="3" borderId="12" xfId="0" applyNumberFormat="1" applyFill="1" applyBorder="1" applyAlignment="1" applyProtection="1">
      <alignment horizontal="center"/>
      <protection/>
    </xf>
    <xf numFmtId="0" fontId="0" fillId="2" borderId="23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8" borderId="13" xfId="0" applyFill="1" applyBorder="1" applyAlignment="1" applyProtection="1">
      <alignment horizontal="center"/>
      <protection/>
    </xf>
    <xf numFmtId="2" fontId="0" fillId="8" borderId="4" xfId="0" applyNumberFormat="1" applyFill="1" applyBorder="1" applyAlignment="1" applyProtection="1">
      <alignment horizontal="center"/>
      <protection/>
    </xf>
    <xf numFmtId="0" fontId="0" fillId="7" borderId="5" xfId="0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center"/>
      <protection/>
    </xf>
    <xf numFmtId="0" fontId="29" fillId="0" borderId="48" xfId="0" applyFont="1" applyBorder="1" applyAlignment="1" applyProtection="1">
      <alignment/>
      <protection/>
    </xf>
    <xf numFmtId="0" fontId="29" fillId="0" borderId="49" xfId="0" applyFont="1" applyBorder="1" applyAlignment="1" applyProtection="1">
      <alignment/>
      <protection/>
    </xf>
    <xf numFmtId="0" fontId="29" fillId="0" borderId="50" xfId="0" applyFont="1" applyBorder="1" applyAlignment="1" applyProtection="1">
      <alignment/>
      <protection/>
    </xf>
    <xf numFmtId="0" fontId="25" fillId="0" borderId="4" xfId="0" applyFont="1" applyBorder="1" applyAlignment="1" applyProtection="1">
      <alignment horizontal="left" vertical="top" wrapText="1"/>
      <protection/>
    </xf>
    <xf numFmtId="0" fontId="2" fillId="8" borderId="16" xfId="0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2" fontId="2" fillId="8" borderId="17" xfId="0" applyNumberFormat="1" applyFont="1" applyFill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0" fontId="0" fillId="2" borderId="6" xfId="0" applyFont="1" applyFill="1" applyBorder="1" applyAlignment="1" applyProtection="1">
      <alignment horizontal="center"/>
      <protection/>
    </xf>
    <xf numFmtId="0" fontId="2" fillId="4" borderId="10" xfId="0" applyFont="1" applyFill="1" applyBorder="1" applyAlignment="1" applyProtection="1">
      <alignment horizontal="center"/>
      <protection/>
    </xf>
    <xf numFmtId="0" fontId="2" fillId="4" borderId="6" xfId="0" applyFont="1" applyFill="1" applyBorder="1" applyAlignment="1" applyProtection="1">
      <alignment horizontal="center"/>
      <protection/>
    </xf>
    <xf numFmtId="0" fontId="2" fillId="3" borderId="24" xfId="0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horizontal="center"/>
      <protection/>
    </xf>
    <xf numFmtId="2" fontId="2" fillId="3" borderId="25" xfId="0" applyNumberFormat="1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center"/>
      <protection/>
    </xf>
    <xf numFmtId="168" fontId="2" fillId="3" borderId="15" xfId="0" applyNumberFormat="1" applyFont="1" applyFill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/>
      <protection/>
    </xf>
    <xf numFmtId="0" fontId="3" fillId="7" borderId="5" xfId="0" applyFont="1" applyFill="1" applyBorder="1" applyAlignment="1" applyProtection="1">
      <alignment horizontal="center"/>
      <protection/>
    </xf>
    <xf numFmtId="1" fontId="0" fillId="4" borderId="13" xfId="0" applyNumberFormat="1" applyFont="1" applyFill="1" applyBorder="1" applyAlignment="1" applyProtection="1">
      <alignment horizontal="center"/>
      <protection/>
    </xf>
    <xf numFmtId="0" fontId="2" fillId="3" borderId="11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1" fontId="2" fillId="3" borderId="12" xfId="0" applyNumberFormat="1" applyFont="1" applyFill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/>
    </xf>
    <xf numFmtId="0" fontId="2" fillId="3" borderId="54" xfId="0" applyFont="1" applyFill="1" applyBorder="1" applyAlignment="1" applyProtection="1">
      <alignment horizontal="center"/>
      <protection/>
    </xf>
    <xf numFmtId="0" fontId="2" fillId="0" borderId="55" xfId="0" applyFont="1" applyFill="1" applyBorder="1" applyAlignment="1" applyProtection="1">
      <alignment horizontal="left" vertical="top" wrapText="1"/>
      <protection/>
    </xf>
    <xf numFmtId="0" fontId="33" fillId="0" borderId="55" xfId="0" applyFont="1" applyFill="1" applyBorder="1" applyAlignment="1" applyProtection="1">
      <alignment horizontal="center"/>
      <protection/>
    </xf>
    <xf numFmtId="1" fontId="2" fillId="3" borderId="55" xfId="0" applyNumberFormat="1" applyFont="1" applyFill="1" applyBorder="1" applyAlignment="1" applyProtection="1">
      <alignment horizontal="center"/>
      <protection/>
    </xf>
    <xf numFmtId="0" fontId="2" fillId="0" borderId="56" xfId="0" applyFont="1" applyBorder="1" applyAlignment="1" applyProtection="1">
      <alignment/>
      <protection/>
    </xf>
    <xf numFmtId="0" fontId="16" fillId="7" borderId="5" xfId="0" applyFont="1" applyFill="1" applyBorder="1" applyAlignment="1" applyProtection="1">
      <alignment horizontal="center"/>
      <protection/>
    </xf>
    <xf numFmtId="1" fontId="2" fillId="4" borderId="13" xfId="0" applyNumberFormat="1" applyFont="1" applyFill="1" applyBorder="1" applyAlignment="1" applyProtection="1">
      <alignment horizontal="center"/>
      <protection/>
    </xf>
    <xf numFmtId="0" fontId="2" fillId="3" borderId="27" xfId="0" applyFont="1" applyFill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 horizontal="center"/>
      <protection/>
    </xf>
    <xf numFmtId="1" fontId="2" fillId="3" borderId="28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/>
      <protection/>
    </xf>
    <xf numFmtId="0" fontId="0" fillId="8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 vertical="top" wrapText="1"/>
      <protection/>
    </xf>
    <xf numFmtId="0" fontId="7" fillId="0" borderId="12" xfId="0" applyFont="1" applyFill="1" applyBorder="1" applyAlignment="1" applyProtection="1">
      <alignment horizontal="center"/>
      <protection/>
    </xf>
    <xf numFmtId="2" fontId="0" fillId="8" borderId="12" xfId="0" applyNumberFormat="1" applyFont="1" applyFill="1" applyBorder="1" applyAlignment="1" applyProtection="1">
      <alignment horizontal="center"/>
      <protection/>
    </xf>
    <xf numFmtId="0" fontId="26" fillId="0" borderId="7" xfId="0" applyFont="1" applyBorder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0" fontId="3" fillId="4" borderId="5" xfId="0" applyFont="1" applyFill="1" applyBorder="1" applyAlignment="1" applyProtection="1">
      <alignment horizontal="center"/>
      <protection/>
    </xf>
    <xf numFmtId="0" fontId="2" fillId="4" borderId="35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168" fontId="0" fillId="3" borderId="12" xfId="0" applyNumberFormat="1" applyFill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left" vertical="top" wrapText="1"/>
      <protection/>
    </xf>
    <xf numFmtId="2" fontId="3" fillId="2" borderId="4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2" fillId="2" borderId="14" xfId="0" applyNumberFormat="1" applyFont="1" applyFill="1" applyBorder="1" applyAlignment="1" applyProtection="1">
      <alignment horizontal="center"/>
      <protection/>
    </xf>
    <xf numFmtId="2" fontId="2" fillId="3" borderId="15" xfId="0" applyNumberFormat="1" applyFont="1" applyFill="1" applyBorder="1" applyAlignment="1" applyProtection="1">
      <alignment horizontal="center"/>
      <protection/>
    </xf>
    <xf numFmtId="2" fontId="3" fillId="2" borderId="15" xfId="0" applyNumberFormat="1" applyFont="1" applyFill="1" applyBorder="1" applyAlignment="1" applyProtection="1">
      <alignment horizontal="center"/>
      <protection/>
    </xf>
    <xf numFmtId="2" fontId="3" fillId="2" borderId="6" xfId="0" applyNumberFormat="1" applyFont="1" applyFill="1" applyBorder="1" applyAlignment="1" applyProtection="1">
      <alignment horizontal="center"/>
      <protection/>
    </xf>
    <xf numFmtId="2" fontId="2" fillId="2" borderId="15" xfId="0" applyNumberFormat="1" applyFont="1" applyFill="1" applyBorder="1" applyAlignment="1" applyProtection="1">
      <alignment horizontal="center"/>
      <protection/>
    </xf>
    <xf numFmtId="2" fontId="2" fillId="2" borderId="6" xfId="0" applyNumberFormat="1" applyFont="1" applyFill="1" applyBorder="1" applyAlignment="1" applyProtection="1">
      <alignment horizontal="center"/>
      <protection/>
    </xf>
    <xf numFmtId="167" fontId="0" fillId="3" borderId="4" xfId="0" applyNumberFormat="1" applyFill="1" applyBorder="1" applyAlignment="1" applyProtection="1">
      <alignment horizontal="center"/>
      <protection/>
    </xf>
    <xf numFmtId="0" fontId="0" fillId="3" borderId="21" xfId="0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/>
      <protection/>
    </xf>
    <xf numFmtId="168" fontId="0" fillId="3" borderId="22" xfId="0" applyNumberForma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169" fontId="2" fillId="4" borderId="13" xfId="0" applyNumberFormat="1" applyFont="1" applyFill="1" applyBorder="1" applyAlignment="1" applyProtection="1">
      <alignment horizontal="center"/>
      <protection/>
    </xf>
    <xf numFmtId="2" fontId="2" fillId="4" borderId="5" xfId="0" applyNumberFormat="1" applyFont="1" applyFill="1" applyBorder="1" applyAlignment="1" applyProtection="1">
      <alignment horizontal="center"/>
      <protection/>
    </xf>
    <xf numFmtId="169" fontId="0" fillId="4" borderId="13" xfId="0" applyNumberFormat="1" applyFont="1" applyFill="1" applyBorder="1" applyAlignment="1" applyProtection="1">
      <alignment horizontal="center"/>
      <protection/>
    </xf>
    <xf numFmtId="2" fontId="0" fillId="3" borderId="5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4" borderId="14" xfId="0" applyFont="1" applyFill="1" applyBorder="1" applyAlignment="1" applyProtection="1">
      <alignment horizontal="center"/>
      <protection/>
    </xf>
    <xf numFmtId="0" fontId="3" fillId="4" borderId="6" xfId="0" applyFont="1" applyFill="1" applyBorder="1" applyAlignment="1" applyProtection="1">
      <alignment horizontal="center"/>
      <protection/>
    </xf>
    <xf numFmtId="0" fontId="2" fillId="8" borderId="13" xfId="0" applyFont="1" applyFill="1" applyBorder="1" applyAlignment="1" applyProtection="1">
      <alignment horizontal="center"/>
      <protection/>
    </xf>
    <xf numFmtId="168" fontId="2" fillId="8" borderId="4" xfId="0" applyNumberFormat="1" applyFont="1" applyFill="1" applyBorder="1" applyAlignment="1" applyProtection="1">
      <alignment horizontal="center"/>
      <protection/>
    </xf>
    <xf numFmtId="0" fontId="0" fillId="3" borderId="13" xfId="0" applyFont="1" applyFill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168" fontId="0" fillId="3" borderId="4" xfId="0" applyNumberFormat="1" applyFont="1" applyFill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/>
      <protection/>
    </xf>
    <xf numFmtId="49" fontId="40" fillId="0" borderId="0" xfId="0" applyNumberFormat="1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2" fontId="2" fillId="3" borderId="28" xfId="0" applyNumberFormat="1" applyFont="1" applyFill="1" applyBorder="1" applyAlignment="1" applyProtection="1">
      <alignment horizontal="center"/>
      <protection/>
    </xf>
    <xf numFmtId="0" fontId="25" fillId="0" borderId="28" xfId="0" applyFont="1" applyBorder="1" applyAlignment="1" applyProtection="1">
      <alignment horizontal="left" vertical="top" wrapText="1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9" fontId="2" fillId="3" borderId="12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 vertical="top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169" fontId="2" fillId="3" borderId="4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16" fillId="0" borderId="0" xfId="0" applyNumberFormat="1" applyFont="1" applyBorder="1" applyAlignment="1" applyProtection="1">
      <alignment horizontal="center"/>
      <protection/>
    </xf>
    <xf numFmtId="0" fontId="2" fillId="8" borderId="14" xfId="0" applyFont="1" applyFill="1" applyBorder="1" applyAlignment="1" applyProtection="1">
      <alignment horizontal="center"/>
      <protection/>
    </xf>
    <xf numFmtId="0" fontId="25" fillId="0" borderId="15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center"/>
      <protection/>
    </xf>
    <xf numFmtId="168" fontId="2" fillId="8" borderId="15" xfId="0" applyNumberFormat="1" applyFont="1" applyFill="1" applyBorder="1" applyAlignment="1" applyProtection="1">
      <alignment horizontal="center"/>
      <protection/>
    </xf>
    <xf numFmtId="2" fontId="0" fillId="3" borderId="12" xfId="0" applyNumberFormat="1" applyFill="1" applyBorder="1" applyAlignment="1" applyProtection="1">
      <alignment horizontal="center"/>
      <protection/>
    </xf>
    <xf numFmtId="169" fontId="2" fillId="3" borderId="4" xfId="0" applyNumberFormat="1" applyFont="1" applyFill="1" applyBorder="1" applyAlignment="1" applyProtection="1">
      <alignment horizontal="center"/>
      <protection/>
    </xf>
    <xf numFmtId="0" fontId="2" fillId="8" borderId="14" xfId="0" applyFont="1" applyFill="1" applyBorder="1" applyAlignment="1" applyProtection="1">
      <alignment horizontal="center"/>
      <protection/>
    </xf>
    <xf numFmtId="2" fontId="2" fillId="8" borderId="15" xfId="0" applyNumberFormat="1" applyFont="1" applyFill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 horizontal="left" vertical="top" wrapText="1"/>
      <protection/>
    </xf>
    <xf numFmtId="2" fontId="2" fillId="8" borderId="15" xfId="0" applyNumberFormat="1" applyFont="1" applyFill="1" applyBorder="1" applyAlignment="1" applyProtection="1">
      <alignment horizontal="center"/>
      <protection/>
    </xf>
    <xf numFmtId="0" fontId="2" fillId="3" borderId="16" xfId="0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3" fillId="0" borderId="17" xfId="0" applyFont="1" applyFill="1" applyBorder="1" applyAlignment="1" applyProtection="1">
      <alignment horizontal="center"/>
      <protection/>
    </xf>
    <xf numFmtId="169" fontId="2" fillId="3" borderId="17" xfId="0" applyNumberFormat="1" applyFont="1" applyFill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" fillId="9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" fontId="2" fillId="4" borderId="14" xfId="0" applyNumberFormat="1" applyFont="1" applyFill="1" applyBorder="1" applyAlignment="1" applyProtection="1">
      <alignment horizontal="center"/>
      <protection/>
    </xf>
    <xf numFmtId="169" fontId="2" fillId="4" borderId="6" xfId="0" applyNumberFormat="1" applyFon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169" fontId="0" fillId="0" borderId="0" xfId="0" applyNumberFormat="1" applyFill="1" applyBorder="1" applyAlignment="1" applyProtection="1">
      <alignment horizontal="center"/>
      <protection/>
    </xf>
    <xf numFmtId="169" fontId="2" fillId="4" borderId="14" xfId="0" applyNumberFormat="1" applyFont="1" applyFill="1" applyBorder="1" applyAlignment="1" applyProtection="1">
      <alignment horizontal="center"/>
      <protection/>
    </xf>
    <xf numFmtId="2" fontId="2" fillId="4" borderId="6" xfId="0" applyNumberFormat="1" applyFont="1" applyFill="1" applyBorder="1" applyAlignment="1" applyProtection="1">
      <alignment horizontal="center"/>
      <protection/>
    </xf>
    <xf numFmtId="0" fontId="45" fillId="0" borderId="51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2" borderId="36" xfId="0" applyFill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2" fillId="4" borderId="39" xfId="0" applyFont="1" applyFill="1" applyBorder="1" applyAlignment="1" applyProtection="1">
      <alignment horizontal="center"/>
      <protection/>
    </xf>
    <xf numFmtId="168" fontId="2" fillId="4" borderId="3" xfId="0" applyNumberFormat="1" applyFont="1" applyFill="1" applyBorder="1" applyAlignment="1" applyProtection="1">
      <alignment horizontal="center"/>
      <protection/>
    </xf>
    <xf numFmtId="0" fontId="0" fillId="4" borderId="8" xfId="0" applyFill="1" applyBorder="1" applyAlignment="1" applyProtection="1">
      <alignment horizontal="center"/>
      <protection/>
    </xf>
    <xf numFmtId="1" fontId="2" fillId="4" borderId="11" xfId="0" applyNumberFormat="1" applyFont="1" applyFill="1" applyBorder="1" applyAlignment="1" applyProtection="1">
      <alignment horizontal="center"/>
      <protection/>
    </xf>
    <xf numFmtId="0" fontId="0" fillId="2" borderId="35" xfId="0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2" fillId="4" borderId="57" xfId="0" applyFont="1" applyFill="1" applyBorder="1" applyAlignment="1" applyProtection="1">
      <alignment horizontal="center"/>
      <protection/>
    </xf>
    <xf numFmtId="1" fontId="2" fillId="4" borderId="42" xfId="0" applyNumberFormat="1" applyFont="1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/>
      <protection/>
    </xf>
    <xf numFmtId="2" fontId="2" fillId="4" borderId="42" xfId="0" applyNumberFormat="1" applyFont="1" applyFill="1" applyBorder="1" applyAlignment="1" applyProtection="1">
      <alignment horizontal="center"/>
      <protection/>
    </xf>
    <xf numFmtId="0" fontId="2" fillId="4" borderId="2" xfId="0" applyFont="1" applyFill="1" applyBorder="1" applyAlignment="1" applyProtection="1">
      <alignment horizontal="center"/>
      <protection/>
    </xf>
    <xf numFmtId="169" fontId="0" fillId="4" borderId="42" xfId="0" applyNumberFormat="1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168" fontId="0" fillId="4" borderId="42" xfId="0" applyNumberFormat="1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 horizontal="center"/>
      <protection/>
    </xf>
    <xf numFmtId="0" fontId="2" fillId="2" borderId="23" xfId="0" applyFont="1" applyFill="1" applyBorder="1" applyAlignment="1" applyProtection="1">
      <alignment horizontal="center"/>
      <protection/>
    </xf>
    <xf numFmtId="168" fontId="2" fillId="4" borderId="42" xfId="0" applyNumberFormat="1" applyFont="1" applyFill="1" applyBorder="1" applyAlignment="1" applyProtection="1">
      <alignment horizontal="center"/>
      <protection/>
    </xf>
    <xf numFmtId="0" fontId="2" fillId="2" borderId="27" xfId="0" applyFont="1" applyFill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2" fontId="0" fillId="4" borderId="42" xfId="0" applyNumberFormat="1" applyFont="1" applyFill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 horizontal="center"/>
      <protection/>
    </xf>
    <xf numFmtId="0" fontId="2" fillId="2" borderId="13" xfId="0" applyFont="1" applyFill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2" borderId="14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16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1" fontId="0" fillId="4" borderId="42" xfId="0" applyNumberFormat="1" applyFont="1" applyFill="1" applyBorder="1" applyAlignment="1" applyProtection="1">
      <alignment horizontal="center"/>
      <protection/>
    </xf>
    <xf numFmtId="0" fontId="23" fillId="0" borderId="28" xfId="0" applyFont="1" applyBorder="1" applyAlignment="1" applyProtection="1">
      <alignment horizontal="center"/>
      <protection/>
    </xf>
    <xf numFmtId="0" fontId="2" fillId="3" borderId="16" xfId="0" applyFont="1" applyFill="1" applyBorder="1" applyAlignment="1" applyProtection="1">
      <alignment horizontal="center"/>
      <protection/>
    </xf>
    <xf numFmtId="2" fontId="2" fillId="3" borderId="17" xfId="0" applyNumberFormat="1" applyFont="1" applyFill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2" fontId="2" fillId="3" borderId="15" xfId="0" applyNumberFormat="1" applyFont="1" applyFill="1" applyBorder="1" applyAlignment="1" applyProtection="1">
      <alignment horizontal="center"/>
      <protection/>
    </xf>
    <xf numFmtId="0" fontId="2" fillId="3" borderId="21" xfId="0" applyFont="1" applyFill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center"/>
      <protection/>
    </xf>
    <xf numFmtId="169" fontId="2" fillId="3" borderId="2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/>
    </xf>
    <xf numFmtId="1" fontId="2" fillId="4" borderId="35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28" xfId="0" applyNumberFormat="1" applyFont="1" applyFill="1" applyBorder="1" applyAlignment="1" applyProtection="1">
      <alignment horizontal="center"/>
      <protection locked="0"/>
    </xf>
    <xf numFmtId="0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169" fontId="2" fillId="2" borderId="15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" fillId="4" borderId="38" xfId="0" applyFont="1" applyFill="1" applyBorder="1" applyAlignment="1" applyProtection="1">
      <alignment horizontal="center"/>
      <protection/>
    </xf>
    <xf numFmtId="0" fontId="0" fillId="4" borderId="33" xfId="0" applyFill="1" applyBorder="1" applyAlignment="1" applyProtection="1">
      <alignment horizontal="center"/>
      <protection/>
    </xf>
    <xf numFmtId="0" fontId="0" fillId="4" borderId="20" xfId="0" applyFill="1" applyBorder="1" applyAlignment="1" applyProtection="1">
      <alignment horizontal="center"/>
      <protection/>
    </xf>
    <xf numFmtId="0" fontId="0" fillId="4" borderId="58" xfId="0" applyFill="1" applyBorder="1" applyAlignment="1" applyProtection="1">
      <alignment horizontal="center"/>
      <protection/>
    </xf>
    <xf numFmtId="0" fontId="0" fillId="2" borderId="32" xfId="0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/>
    </xf>
    <xf numFmtId="0" fontId="2" fillId="4" borderId="18" xfId="0" applyFont="1" applyFill="1" applyBorder="1" applyAlignment="1" applyProtection="1">
      <alignment horizontal="center"/>
      <protection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58" xfId="0" applyFill="1" applyBorder="1" applyAlignment="1" applyProtection="1">
      <alignment horizontal="center"/>
      <protection locked="0"/>
    </xf>
    <xf numFmtId="0" fontId="2" fillId="4" borderId="59" xfId="0" applyFont="1" applyFill="1" applyBorder="1" applyAlignment="1" applyProtection="1">
      <alignment horizontal="center"/>
      <protection/>
    </xf>
    <xf numFmtId="0" fontId="2" fillId="4" borderId="60" xfId="0" applyFon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61" xfId="0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/>
    </xf>
    <xf numFmtId="0" fontId="2" fillId="0" borderId="60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0" fillId="3" borderId="44" xfId="0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/>
    </xf>
    <xf numFmtId="0" fontId="2" fillId="7" borderId="52" xfId="0" applyFont="1" applyFill="1" applyBorder="1" applyAlignment="1" applyProtection="1">
      <alignment horizontal="center"/>
      <protection/>
    </xf>
    <xf numFmtId="0" fontId="2" fillId="7" borderId="60" xfId="0" applyFont="1" applyFill="1" applyBorder="1" applyAlignment="1" applyProtection="1">
      <alignment horizontal="center"/>
      <protection/>
    </xf>
    <xf numFmtId="0" fontId="2" fillId="7" borderId="38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49" fontId="2" fillId="0" borderId="60" xfId="0" applyNumberFormat="1" applyFont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49" fontId="2" fillId="0" borderId="46" xfId="0" applyNumberFormat="1" applyFont="1" applyBorder="1" applyAlignment="1" applyProtection="1">
      <alignment horizontal="center"/>
      <protection/>
    </xf>
    <xf numFmtId="49" fontId="2" fillId="0" borderId="47" xfId="0" applyNumberFormat="1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9" fillId="0" borderId="46" xfId="0" applyFont="1" applyBorder="1" applyAlignment="1" applyProtection="1">
      <alignment/>
      <protection/>
    </xf>
    <xf numFmtId="0" fontId="29" fillId="0" borderId="37" xfId="0" applyFont="1" applyBorder="1" applyAlignment="1" applyProtection="1">
      <alignment/>
      <protection/>
    </xf>
    <xf numFmtId="0" fontId="29" fillId="0" borderId="47" xfId="0" applyFont="1" applyBorder="1" applyAlignment="1" applyProtection="1">
      <alignment/>
      <protection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/>
    </xf>
    <xf numFmtId="0" fontId="0" fillId="4" borderId="23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/>
    </xf>
    <xf numFmtId="0" fontId="0" fillId="4" borderId="7" xfId="0" applyFill="1" applyBorder="1" applyAlignment="1" applyProtection="1">
      <alignment horizontal="center"/>
      <protection/>
    </xf>
    <xf numFmtId="0" fontId="0" fillId="2" borderId="44" xfId="0" applyFill="1" applyBorder="1" applyAlignment="1" applyProtection="1">
      <alignment horizontal="center"/>
      <protection locked="0"/>
    </xf>
    <xf numFmtId="0" fontId="0" fillId="2" borderId="61" xfId="0" applyFill="1" applyBorder="1" applyAlignment="1" applyProtection="1">
      <alignment horizontal="center"/>
      <protection locked="0"/>
    </xf>
    <xf numFmtId="0" fontId="0" fillId="4" borderId="34" xfId="0" applyFill="1" applyBorder="1" applyAlignment="1" applyProtection="1">
      <alignment horizontal="center"/>
      <protection/>
    </xf>
    <xf numFmtId="0" fontId="0" fillId="4" borderId="19" xfId="0" applyFill="1" applyBorder="1" applyAlignment="1" applyProtection="1">
      <alignment horizontal="center"/>
      <protection/>
    </xf>
    <xf numFmtId="0" fontId="0" fillId="4" borderId="62" xfId="0" applyFill="1" applyBorder="1" applyAlignment="1" applyProtection="1">
      <alignment horizontal="center"/>
      <protection/>
    </xf>
    <xf numFmtId="0" fontId="16" fillId="0" borderId="11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3" fillId="0" borderId="46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47" xfId="0" applyFont="1" applyBorder="1" applyAlignment="1">
      <alignment/>
    </xf>
    <xf numFmtId="49" fontId="2" fillId="0" borderId="4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13" fillId="0" borderId="52" xfId="0" applyFont="1" applyBorder="1" applyAlignment="1">
      <alignment/>
    </xf>
    <xf numFmtId="0" fontId="13" fillId="0" borderId="60" xfId="0" applyFont="1" applyBorder="1" applyAlignment="1">
      <alignment/>
    </xf>
    <xf numFmtId="0" fontId="13" fillId="0" borderId="38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172" fontId="3" fillId="3" borderId="5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36" fillId="0" borderId="3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FFFF"/>
      </font>
      <fill>
        <patternFill>
          <bgColor rgb="FFFF0000"/>
        </patternFill>
      </fill>
      <border/>
    </dxf>
    <dxf>
      <font>
        <color rgb="FFFF0000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Cv=f(Vs)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3425"/>
          <c:w val="0.95725"/>
          <c:h val="0.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'Проект-1'!$T$7:$T$14</c:f>
              <c:numCache/>
            </c:numRef>
          </c:xVal>
          <c:yVal>
            <c:numRef>
              <c:f>'Проект-1'!$U$7:$U$14</c:f>
              <c:numCache/>
            </c:numRef>
          </c:yVal>
          <c:smooth val="0"/>
        </c:ser>
        <c:axId val="8508104"/>
        <c:axId val="9464073"/>
      </c:scatterChart>
      <c:valAx>
        <c:axId val="8508104"/>
        <c:scaling>
          <c:orientation val="minMax"/>
          <c:max val="8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Vs</a:t>
                </a:r>
              </a:p>
            </c:rich>
          </c:tx>
          <c:layout>
            <c:manualLayout>
              <c:xMode val="factor"/>
              <c:yMode val="factor"/>
              <c:x val="0.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64073"/>
        <c:crosses val="autoZero"/>
        <c:crossBetween val="midCat"/>
        <c:dispUnits/>
        <c:majorUnit val="1"/>
      </c:valAx>
      <c:valAx>
        <c:axId val="9464073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Cv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0810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Cv=f(Vs)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3625"/>
          <c:w val="0.96375"/>
          <c:h val="0.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'Проект-1'!$T$7:$T$14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'Проект-1'!$U$7:$U$14</c:f>
              <c:numCache>
                <c:ptCount val="8"/>
                <c:pt idx="0">
                  <c:v>1.33</c:v>
                </c:pt>
                <c:pt idx="1">
                  <c:v>1.21</c:v>
                </c:pt>
                <c:pt idx="2">
                  <c:v>1.11</c:v>
                </c:pt>
                <c:pt idx="3">
                  <c:v>1.02</c:v>
                </c:pt>
                <c:pt idx="4">
                  <c:v>0.95</c:v>
                </c:pt>
                <c:pt idx="5">
                  <c:v>0.88</c:v>
                </c:pt>
                <c:pt idx="6">
                  <c:v>0.83</c:v>
                </c:pt>
                <c:pt idx="7">
                  <c:v>0.8</c:v>
                </c:pt>
              </c:numCache>
            </c:numRef>
          </c:yVal>
          <c:smooth val="0"/>
        </c:ser>
        <c:axId val="18067794"/>
        <c:axId val="28392419"/>
      </c:scatterChart>
      <c:valAx>
        <c:axId val="18067794"/>
        <c:scaling>
          <c:orientation val="minMax"/>
          <c:max val="8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Vs</a:t>
                </a:r>
              </a:p>
            </c:rich>
          </c:tx>
          <c:layout>
            <c:manualLayout>
              <c:xMode val="factor"/>
              <c:yMode val="factor"/>
              <c:x val="0.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92419"/>
        <c:crosses val="autoZero"/>
        <c:crossBetween val="midCat"/>
        <c:dispUnits/>
        <c:majorUnit val="1"/>
      </c:valAx>
      <c:valAx>
        <c:axId val="28392419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Cv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6779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18</xdr:row>
      <xdr:rowOff>47625</xdr:rowOff>
    </xdr:from>
    <xdr:to>
      <xdr:col>21</xdr:col>
      <xdr:colOff>657225</xdr:colOff>
      <xdr:row>33</xdr:row>
      <xdr:rowOff>161925</xdr:rowOff>
    </xdr:to>
    <xdr:graphicFrame>
      <xdr:nvGraphicFramePr>
        <xdr:cNvPr id="1" name="Chart 19"/>
        <xdr:cNvGraphicFramePr/>
      </xdr:nvGraphicFramePr>
      <xdr:xfrm>
        <a:off x="14316075" y="3895725"/>
        <a:ext cx="3933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66675</xdr:colOff>
      <xdr:row>2</xdr:row>
      <xdr:rowOff>38100</xdr:rowOff>
    </xdr:from>
    <xdr:to>
      <xdr:col>38</xdr:col>
      <xdr:colOff>619125</xdr:colOff>
      <xdr:row>20</xdr:row>
      <xdr:rowOff>152400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98025" y="381000"/>
          <a:ext cx="5353050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57150</xdr:colOff>
      <xdr:row>21</xdr:row>
      <xdr:rowOff>47625</xdr:rowOff>
    </xdr:from>
    <xdr:to>
      <xdr:col>38</xdr:col>
      <xdr:colOff>609600</xdr:colOff>
      <xdr:row>37</xdr:row>
      <xdr:rowOff>19050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288500" y="4552950"/>
          <a:ext cx="535305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18</xdr:row>
      <xdr:rowOff>38100</xdr:rowOff>
    </xdr:from>
    <xdr:to>
      <xdr:col>17</xdr:col>
      <xdr:colOff>600075</xdr:colOff>
      <xdr:row>33</xdr:row>
      <xdr:rowOff>152400</xdr:rowOff>
    </xdr:to>
    <xdr:graphicFrame>
      <xdr:nvGraphicFramePr>
        <xdr:cNvPr id="1" name="Chart 5"/>
        <xdr:cNvGraphicFramePr/>
      </xdr:nvGraphicFramePr>
      <xdr:xfrm>
        <a:off x="11639550" y="3943350"/>
        <a:ext cx="50577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00"/>
  <sheetViews>
    <sheetView tabSelected="1" zoomScale="90" zoomScaleNormal="90" workbookViewId="0" topLeftCell="A1">
      <selection activeCell="A40" sqref="A40"/>
    </sheetView>
  </sheetViews>
  <sheetFormatPr defaultColWidth="9.00390625" defaultRowHeight="12.75"/>
  <cols>
    <col min="1" max="1" width="3.25390625" style="0" bestFit="1" customWidth="1"/>
    <col min="2" max="2" width="44.25390625" style="0" customWidth="1"/>
    <col min="3" max="3" width="7.00390625" style="0" customWidth="1"/>
    <col min="4" max="4" width="8.375" style="0" bestFit="1" customWidth="1"/>
    <col min="5" max="5" width="7.375" style="0" customWidth="1"/>
    <col min="6" max="6" width="1.12109375" style="0" customWidth="1"/>
    <col min="7" max="7" width="3.25390625" style="0" bestFit="1" customWidth="1"/>
    <col min="8" max="8" width="47.125" style="0" customWidth="1"/>
    <col min="9" max="9" width="7.00390625" style="0" bestFit="1" customWidth="1"/>
    <col min="10" max="10" width="8.375" style="0" customWidth="1"/>
    <col min="11" max="11" width="5.25390625" style="0" bestFit="1" customWidth="1"/>
    <col min="13" max="13" width="15.625" style="0" bestFit="1" customWidth="1"/>
    <col min="15" max="16" width="5.625" style="0" bestFit="1" customWidth="1"/>
    <col min="17" max="17" width="24.875" style="0" bestFit="1" customWidth="1"/>
    <col min="18" max="19" width="4.875" style="0" bestFit="1" customWidth="1"/>
    <col min="20" max="20" width="3.375" style="0" bestFit="1" customWidth="1"/>
    <col min="21" max="21" width="5.625" style="0" bestFit="1" customWidth="1"/>
    <col min="22" max="22" width="9.75390625" style="67" bestFit="1" customWidth="1"/>
    <col min="23" max="23" width="6.75390625" style="67" bestFit="1" customWidth="1"/>
    <col min="24" max="24" width="4.375" style="67" bestFit="1" customWidth="1"/>
    <col min="25" max="25" width="5.625" style="67" bestFit="1" customWidth="1"/>
    <col min="26" max="26" width="6.75390625" style="0" bestFit="1" customWidth="1"/>
    <col min="27" max="27" width="5.625" style="98" bestFit="1" customWidth="1"/>
    <col min="28" max="28" width="4.00390625" style="98" bestFit="1" customWidth="1"/>
    <col min="29" max="29" width="6.00390625" style="98" bestFit="1" customWidth="1"/>
    <col min="30" max="30" width="7.125" style="98" bestFit="1" customWidth="1"/>
    <col min="31" max="31" width="4.875" style="0" bestFit="1" customWidth="1"/>
    <col min="40" max="40" width="4.375" style="0" bestFit="1" customWidth="1"/>
    <col min="41" max="45" width="6.00390625" style="0" bestFit="1" customWidth="1"/>
    <col min="46" max="46" width="1.37890625" style="0" customWidth="1"/>
    <col min="47" max="47" width="4.375" style="0" bestFit="1" customWidth="1"/>
    <col min="48" max="51" width="6.00390625" style="0" bestFit="1" customWidth="1"/>
    <col min="52" max="52" width="7.00390625" style="0" bestFit="1" customWidth="1"/>
    <col min="53" max="53" width="1.37890625" style="0" customWidth="1"/>
    <col min="54" max="54" width="4.375" style="0" bestFit="1" customWidth="1"/>
    <col min="55" max="59" width="6.00390625" style="0" bestFit="1" customWidth="1"/>
    <col min="60" max="60" width="1.37890625" style="0" customWidth="1"/>
    <col min="61" max="61" width="4.375" style="0" bestFit="1" customWidth="1"/>
    <col min="62" max="66" width="6.00390625" style="0" bestFit="1" customWidth="1"/>
    <col min="67" max="67" width="1.37890625" style="0" customWidth="1"/>
    <col min="68" max="68" width="4.375" style="0" bestFit="1" customWidth="1"/>
    <col min="69" max="73" width="6.00390625" style="0" bestFit="1" customWidth="1"/>
    <col min="74" max="74" width="1.37890625" style="0" customWidth="1"/>
    <col min="75" max="75" width="4.375" style="0" bestFit="1" customWidth="1"/>
    <col min="76" max="80" width="6.00390625" style="0" bestFit="1" customWidth="1"/>
    <col min="81" max="81" width="1.37890625" style="0" customWidth="1"/>
    <col min="82" max="82" width="4.375" style="0" bestFit="1" customWidth="1"/>
    <col min="83" max="87" width="6.00390625" style="0" bestFit="1" customWidth="1"/>
    <col min="88" max="88" width="1.37890625" style="0" customWidth="1"/>
    <col min="89" max="89" width="4.375" style="0" bestFit="1" customWidth="1"/>
    <col min="90" max="90" width="5.125" style="0" bestFit="1" customWidth="1"/>
    <col min="91" max="94" width="6.00390625" style="0" bestFit="1" customWidth="1"/>
    <col min="95" max="95" width="1.37890625" style="0" customWidth="1"/>
    <col min="96" max="96" width="4.375" style="0" bestFit="1" customWidth="1"/>
    <col min="97" max="97" width="5.125" style="0" bestFit="1" customWidth="1"/>
    <col min="98" max="101" width="6.00390625" style="0" bestFit="1" customWidth="1"/>
  </cols>
  <sheetData>
    <row r="1" spans="1:102" ht="19.5">
      <c r="A1" s="557" t="s">
        <v>274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156"/>
      <c r="M1" s="544" t="s">
        <v>251</v>
      </c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 t="s">
        <v>242</v>
      </c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/>
      <c r="BO1" s="544"/>
      <c r="BP1" s="544"/>
      <c r="BQ1" s="544"/>
      <c r="BR1" s="544"/>
      <c r="BS1" s="544"/>
      <c r="BT1" s="544"/>
      <c r="BU1" s="544"/>
      <c r="BV1" s="544"/>
      <c r="BW1" s="544"/>
      <c r="BX1" s="544"/>
      <c r="BY1" s="544"/>
      <c r="BZ1" s="544"/>
      <c r="CA1" s="544"/>
      <c r="CB1" s="544"/>
      <c r="CC1" s="544"/>
      <c r="CD1" s="544"/>
      <c r="CE1" s="544"/>
      <c r="CF1" s="544"/>
      <c r="CG1" s="544"/>
      <c r="CH1" s="544"/>
      <c r="CI1" s="544"/>
      <c r="CJ1" s="544"/>
      <c r="CK1" s="544"/>
      <c r="CL1" s="544"/>
      <c r="CM1" s="544"/>
      <c r="CN1" s="544"/>
      <c r="CO1" s="544"/>
      <c r="CP1" s="544"/>
      <c r="CQ1" s="544"/>
      <c r="CR1" s="544"/>
      <c r="CS1" s="544"/>
      <c r="CT1" s="544"/>
      <c r="CU1" s="544"/>
      <c r="CV1" s="544"/>
      <c r="CW1" s="544"/>
      <c r="CX1" s="158"/>
    </row>
    <row r="2" spans="1:102" ht="7.5" customHeight="1" thickBo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9"/>
      <c r="X2" s="159"/>
      <c r="Y2" s="159"/>
      <c r="Z2" s="159"/>
      <c r="AA2" s="158"/>
      <c r="AB2" s="160"/>
      <c r="AC2" s="160"/>
      <c r="AD2" s="160"/>
      <c r="AE2" s="160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</row>
    <row r="3" spans="1:102" ht="17.25" customHeight="1" thickBot="1">
      <c r="A3" s="558" t="s">
        <v>185</v>
      </c>
      <c r="B3" s="559"/>
      <c r="C3" s="559"/>
      <c r="D3" s="559"/>
      <c r="E3" s="560"/>
      <c r="F3" s="161"/>
      <c r="G3" s="162">
        <v>22</v>
      </c>
      <c r="H3" s="163" t="s">
        <v>62</v>
      </c>
      <c r="I3" s="164" t="s">
        <v>63</v>
      </c>
      <c r="J3" s="165">
        <f>DEGREES(ATAN2(D37,D20))</f>
        <v>14.036243467926479</v>
      </c>
      <c r="K3" s="166" t="s">
        <v>122</v>
      </c>
      <c r="L3" s="158"/>
      <c r="M3" s="167" t="s">
        <v>211</v>
      </c>
      <c r="N3" s="167" t="s">
        <v>257</v>
      </c>
      <c r="O3" s="167" t="s">
        <v>212</v>
      </c>
      <c r="P3" s="168" t="s">
        <v>214</v>
      </c>
      <c r="Q3" s="169" t="s">
        <v>258</v>
      </c>
      <c r="R3" s="169" t="s">
        <v>215</v>
      </c>
      <c r="S3" s="170" t="s">
        <v>216</v>
      </c>
      <c r="T3" s="555" t="s">
        <v>199</v>
      </c>
      <c r="U3" s="556"/>
      <c r="V3" s="171" t="s">
        <v>217</v>
      </c>
      <c r="W3" s="551" t="s">
        <v>218</v>
      </c>
      <c r="X3" s="552"/>
      <c r="Y3" s="172" t="s">
        <v>219</v>
      </c>
      <c r="Z3" s="553" t="s">
        <v>220</v>
      </c>
      <c r="AA3" s="554"/>
      <c r="AB3" s="551" t="s">
        <v>221</v>
      </c>
      <c r="AC3" s="552"/>
      <c r="AD3" s="551" t="s">
        <v>222</v>
      </c>
      <c r="AE3" s="552"/>
      <c r="AF3" s="173"/>
      <c r="AG3" s="173"/>
      <c r="AH3" s="173"/>
      <c r="AI3" s="173"/>
      <c r="AJ3" s="173"/>
      <c r="AK3" s="173"/>
      <c r="AL3" s="173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</row>
    <row r="4" spans="1:102" ht="17.25" customHeight="1" thickBot="1">
      <c r="A4" s="174"/>
      <c r="B4" s="175"/>
      <c r="C4" s="175"/>
      <c r="D4" s="175"/>
      <c r="E4" s="176"/>
      <c r="F4" s="159"/>
      <c r="G4" s="177">
        <v>23</v>
      </c>
      <c r="H4" s="178" t="s">
        <v>123</v>
      </c>
      <c r="I4" s="179" t="s">
        <v>194</v>
      </c>
      <c r="J4" s="180">
        <f>DEGREES(ATAN(D20/(D37+2*D38)))</f>
        <v>14.036243467926479</v>
      </c>
      <c r="K4" s="181" t="s">
        <v>122</v>
      </c>
      <c r="L4" s="182"/>
      <c r="M4" s="183" t="s">
        <v>7</v>
      </c>
      <c r="N4" s="183" t="s">
        <v>7</v>
      </c>
      <c r="O4" s="548" t="s">
        <v>7</v>
      </c>
      <c r="P4" s="549"/>
      <c r="Q4" s="548" t="s">
        <v>7</v>
      </c>
      <c r="R4" s="550"/>
      <c r="S4" s="549"/>
      <c r="T4" s="184"/>
      <c r="U4" s="185"/>
      <c r="V4" s="186"/>
      <c r="W4" s="187"/>
      <c r="X4" s="188"/>
      <c r="Y4" s="189"/>
      <c r="Z4" s="190"/>
      <c r="AA4" s="188"/>
      <c r="AB4" s="191"/>
      <c r="AC4" s="192"/>
      <c r="AD4" s="191"/>
      <c r="AE4" s="192"/>
      <c r="AF4" s="158"/>
      <c r="AG4" s="158"/>
      <c r="AH4" s="158"/>
      <c r="AI4" s="158"/>
      <c r="AJ4" s="158"/>
      <c r="AK4" s="158"/>
      <c r="AL4" s="158"/>
      <c r="AM4" s="158"/>
      <c r="AN4" s="545" t="s">
        <v>120</v>
      </c>
      <c r="AO4" s="546"/>
      <c r="AP4" s="546"/>
      <c r="AQ4" s="546"/>
      <c r="AR4" s="546"/>
      <c r="AS4" s="547"/>
      <c r="AT4" s="158"/>
      <c r="AU4" s="545" t="s">
        <v>120</v>
      </c>
      <c r="AV4" s="546"/>
      <c r="AW4" s="546"/>
      <c r="AX4" s="546"/>
      <c r="AY4" s="546"/>
      <c r="AZ4" s="547"/>
      <c r="BA4" s="158"/>
      <c r="BB4" s="545" t="s">
        <v>120</v>
      </c>
      <c r="BC4" s="546"/>
      <c r="BD4" s="546"/>
      <c r="BE4" s="546"/>
      <c r="BF4" s="546"/>
      <c r="BG4" s="547"/>
      <c r="BH4" s="158"/>
      <c r="BI4" s="545" t="s">
        <v>120</v>
      </c>
      <c r="BJ4" s="546"/>
      <c r="BK4" s="546"/>
      <c r="BL4" s="546"/>
      <c r="BM4" s="546"/>
      <c r="BN4" s="547"/>
      <c r="BO4" s="193"/>
      <c r="BP4" s="545" t="s">
        <v>120</v>
      </c>
      <c r="BQ4" s="546"/>
      <c r="BR4" s="546"/>
      <c r="BS4" s="546"/>
      <c r="BT4" s="546"/>
      <c r="BU4" s="547"/>
      <c r="BV4" s="158"/>
      <c r="BW4" s="545" t="s">
        <v>120</v>
      </c>
      <c r="BX4" s="546"/>
      <c r="BY4" s="546"/>
      <c r="BZ4" s="546"/>
      <c r="CA4" s="546"/>
      <c r="CB4" s="547"/>
      <c r="CC4" s="158"/>
      <c r="CD4" s="545" t="s">
        <v>120</v>
      </c>
      <c r="CE4" s="546"/>
      <c r="CF4" s="546"/>
      <c r="CG4" s="546"/>
      <c r="CH4" s="546"/>
      <c r="CI4" s="547"/>
      <c r="CJ4" s="158"/>
      <c r="CK4" s="545" t="s">
        <v>120</v>
      </c>
      <c r="CL4" s="546"/>
      <c r="CM4" s="546"/>
      <c r="CN4" s="546"/>
      <c r="CO4" s="546"/>
      <c r="CP4" s="547"/>
      <c r="CQ4" s="160"/>
      <c r="CR4" s="545" t="s">
        <v>120</v>
      </c>
      <c r="CS4" s="546"/>
      <c r="CT4" s="546"/>
      <c r="CU4" s="546"/>
      <c r="CV4" s="546"/>
      <c r="CW4" s="547"/>
      <c r="CX4" s="158"/>
    </row>
    <row r="5" spans="1:102" ht="17.25" customHeight="1" thickBot="1">
      <c r="A5" s="194">
        <v>1</v>
      </c>
      <c r="B5" s="185" t="s">
        <v>31</v>
      </c>
      <c r="C5" s="567" t="s">
        <v>32</v>
      </c>
      <c r="D5" s="567"/>
      <c r="E5" s="568"/>
      <c r="F5" s="196"/>
      <c r="G5" s="162">
        <v>24</v>
      </c>
      <c r="H5" s="163" t="s">
        <v>124</v>
      </c>
      <c r="I5" s="197" t="s">
        <v>195</v>
      </c>
      <c r="J5" s="165">
        <f>D35*(D37+2*D38)</f>
        <v>20</v>
      </c>
      <c r="K5" s="198" t="s">
        <v>36</v>
      </c>
      <c r="L5" s="182"/>
      <c r="M5" s="118">
        <v>2</v>
      </c>
      <c r="N5" s="118">
        <v>2</v>
      </c>
      <c r="O5" s="538">
        <v>7</v>
      </c>
      <c r="P5" s="539"/>
      <c r="Q5" s="538">
        <v>6</v>
      </c>
      <c r="R5" s="543"/>
      <c r="S5" s="539"/>
      <c r="T5" s="199"/>
      <c r="U5" s="200"/>
      <c r="V5" s="201"/>
      <c r="W5" s="202"/>
      <c r="X5" s="203"/>
      <c r="Y5" s="204"/>
      <c r="Z5" s="205"/>
      <c r="AA5" s="203"/>
      <c r="AB5" s="206"/>
      <c r="AC5" s="207"/>
      <c r="AD5" s="206"/>
      <c r="AE5" s="207"/>
      <c r="AF5" s="158"/>
      <c r="AG5" s="158"/>
      <c r="AH5" s="158"/>
      <c r="AI5" s="158"/>
      <c r="AJ5" s="158"/>
      <c r="AK5" s="158"/>
      <c r="AL5" s="158"/>
      <c r="AM5" s="158"/>
      <c r="AN5" s="540">
        <v>32</v>
      </c>
      <c r="AO5" s="541"/>
      <c r="AP5" s="541"/>
      <c r="AQ5" s="541"/>
      <c r="AR5" s="541"/>
      <c r="AS5" s="542"/>
      <c r="AT5" s="158"/>
      <c r="AU5" s="540">
        <v>36</v>
      </c>
      <c r="AV5" s="541"/>
      <c r="AW5" s="541"/>
      <c r="AX5" s="541"/>
      <c r="AY5" s="541"/>
      <c r="AZ5" s="542"/>
      <c r="BA5" s="193"/>
      <c r="BB5" s="540">
        <v>40</v>
      </c>
      <c r="BC5" s="541"/>
      <c r="BD5" s="541"/>
      <c r="BE5" s="541"/>
      <c r="BF5" s="541"/>
      <c r="BG5" s="542"/>
      <c r="BH5" s="158"/>
      <c r="BI5" s="540">
        <v>46</v>
      </c>
      <c r="BJ5" s="541"/>
      <c r="BK5" s="541"/>
      <c r="BL5" s="541"/>
      <c r="BM5" s="541"/>
      <c r="BN5" s="542"/>
      <c r="BO5" s="193"/>
      <c r="BP5" s="540">
        <v>50</v>
      </c>
      <c r="BQ5" s="541"/>
      <c r="BR5" s="541"/>
      <c r="BS5" s="541"/>
      <c r="BT5" s="541"/>
      <c r="BU5" s="542"/>
      <c r="BV5" s="158"/>
      <c r="BW5" s="540">
        <v>58</v>
      </c>
      <c r="BX5" s="541"/>
      <c r="BY5" s="541"/>
      <c r="BZ5" s="541"/>
      <c r="CA5" s="541"/>
      <c r="CB5" s="542"/>
      <c r="CC5" s="158"/>
      <c r="CD5" s="540">
        <v>63</v>
      </c>
      <c r="CE5" s="541"/>
      <c r="CF5" s="541"/>
      <c r="CG5" s="541"/>
      <c r="CH5" s="541"/>
      <c r="CI5" s="542"/>
      <c r="CJ5" s="158"/>
      <c r="CK5" s="540">
        <v>73</v>
      </c>
      <c r="CL5" s="541"/>
      <c r="CM5" s="541"/>
      <c r="CN5" s="541"/>
      <c r="CO5" s="541"/>
      <c r="CP5" s="542"/>
      <c r="CQ5" s="193"/>
      <c r="CR5" s="540">
        <v>80</v>
      </c>
      <c r="CS5" s="541"/>
      <c r="CT5" s="541"/>
      <c r="CU5" s="541"/>
      <c r="CV5" s="541"/>
      <c r="CW5" s="542"/>
      <c r="CX5" s="158"/>
    </row>
    <row r="6" spans="1:102" ht="17.25" customHeight="1" thickBot="1">
      <c r="A6" s="208">
        <v>2</v>
      </c>
      <c r="B6" s="209" t="s">
        <v>253</v>
      </c>
      <c r="C6" s="561" t="str">
        <f>INDEX(M7:M8,M5)</f>
        <v>Нереверсивный</v>
      </c>
      <c r="D6" s="561"/>
      <c r="E6" s="562"/>
      <c r="F6" s="196"/>
      <c r="G6" s="210">
        <v>25</v>
      </c>
      <c r="H6" s="211" t="s">
        <v>125</v>
      </c>
      <c r="I6" s="212" t="s">
        <v>130</v>
      </c>
      <c r="J6" s="213">
        <f>D35*D21</f>
        <v>80</v>
      </c>
      <c r="K6" s="214" t="s">
        <v>36</v>
      </c>
      <c r="L6" s="182"/>
      <c r="M6" s="215" t="s">
        <v>256</v>
      </c>
      <c r="N6" s="215" t="s">
        <v>8</v>
      </c>
      <c r="O6" s="216" t="s">
        <v>170</v>
      </c>
      <c r="P6" s="216" t="s">
        <v>3</v>
      </c>
      <c r="Q6" s="217" t="s">
        <v>16</v>
      </c>
      <c r="R6" s="218" t="s">
        <v>18</v>
      </c>
      <c r="S6" s="219" t="s">
        <v>19</v>
      </c>
      <c r="T6" s="220" t="s">
        <v>132</v>
      </c>
      <c r="U6" s="220" t="s">
        <v>187</v>
      </c>
      <c r="V6" s="220" t="s">
        <v>187</v>
      </c>
      <c r="W6" s="216" t="s">
        <v>39</v>
      </c>
      <c r="X6" s="216" t="s">
        <v>24</v>
      </c>
      <c r="Y6" s="217" t="s">
        <v>25</v>
      </c>
      <c r="Z6" s="217" t="s">
        <v>117</v>
      </c>
      <c r="AA6" s="221" t="s">
        <v>26</v>
      </c>
      <c r="AB6" s="220" t="s">
        <v>201</v>
      </c>
      <c r="AC6" s="222" t="s">
        <v>200</v>
      </c>
      <c r="AD6" s="220" t="s">
        <v>132</v>
      </c>
      <c r="AE6" s="223" t="s">
        <v>196</v>
      </c>
      <c r="AF6" s="158"/>
      <c r="AG6" s="158"/>
      <c r="AH6" s="158"/>
      <c r="AI6" s="158"/>
      <c r="AJ6" s="158"/>
      <c r="AK6" s="158"/>
      <c r="AL6" s="158"/>
      <c r="AM6" s="158"/>
      <c r="AN6" s="215" t="s">
        <v>24</v>
      </c>
      <c r="AO6" s="215" t="s">
        <v>231</v>
      </c>
      <c r="AP6" s="215" t="s">
        <v>232</v>
      </c>
      <c r="AQ6" s="215" t="s">
        <v>25</v>
      </c>
      <c r="AR6" s="224" t="s">
        <v>117</v>
      </c>
      <c r="AS6" s="215" t="s">
        <v>26</v>
      </c>
      <c r="AT6" s="158"/>
      <c r="AU6" s="216" t="s">
        <v>24</v>
      </c>
      <c r="AV6" s="216" t="s">
        <v>231</v>
      </c>
      <c r="AW6" s="216" t="s">
        <v>232</v>
      </c>
      <c r="AX6" s="216" t="s">
        <v>25</v>
      </c>
      <c r="AY6" s="225" t="s">
        <v>117</v>
      </c>
      <c r="AZ6" s="216" t="s">
        <v>26</v>
      </c>
      <c r="BA6" s="193"/>
      <c r="BB6" s="216" t="s">
        <v>24</v>
      </c>
      <c r="BC6" s="216" t="s">
        <v>231</v>
      </c>
      <c r="BD6" s="216" t="s">
        <v>232</v>
      </c>
      <c r="BE6" s="216" t="s">
        <v>25</v>
      </c>
      <c r="BF6" s="225" t="s">
        <v>117</v>
      </c>
      <c r="BG6" s="216" t="s">
        <v>26</v>
      </c>
      <c r="BH6" s="158"/>
      <c r="BI6" s="216" t="s">
        <v>24</v>
      </c>
      <c r="BJ6" s="216" t="s">
        <v>231</v>
      </c>
      <c r="BK6" s="216" t="s">
        <v>232</v>
      </c>
      <c r="BL6" s="216" t="s">
        <v>25</v>
      </c>
      <c r="BM6" s="225" t="s">
        <v>117</v>
      </c>
      <c r="BN6" s="216" t="s">
        <v>26</v>
      </c>
      <c r="BO6" s="193"/>
      <c r="BP6" s="216" t="s">
        <v>24</v>
      </c>
      <c r="BQ6" s="216" t="s">
        <v>231</v>
      </c>
      <c r="BR6" s="216" t="s">
        <v>232</v>
      </c>
      <c r="BS6" s="216" t="s">
        <v>25</v>
      </c>
      <c r="BT6" s="225" t="s">
        <v>117</v>
      </c>
      <c r="BU6" s="216" t="s">
        <v>26</v>
      </c>
      <c r="BV6" s="158"/>
      <c r="BW6" s="216" t="s">
        <v>24</v>
      </c>
      <c r="BX6" s="216" t="s">
        <v>231</v>
      </c>
      <c r="BY6" s="216" t="s">
        <v>232</v>
      </c>
      <c r="BZ6" s="216" t="s">
        <v>25</v>
      </c>
      <c r="CA6" s="225" t="s">
        <v>117</v>
      </c>
      <c r="CB6" s="216" t="s">
        <v>26</v>
      </c>
      <c r="CC6" s="158"/>
      <c r="CD6" s="216" t="s">
        <v>24</v>
      </c>
      <c r="CE6" s="216" t="s">
        <v>231</v>
      </c>
      <c r="CF6" s="216" t="s">
        <v>232</v>
      </c>
      <c r="CG6" s="216" t="s">
        <v>25</v>
      </c>
      <c r="CH6" s="225" t="s">
        <v>117</v>
      </c>
      <c r="CI6" s="216" t="s">
        <v>26</v>
      </c>
      <c r="CJ6" s="158"/>
      <c r="CK6" s="216" t="s">
        <v>24</v>
      </c>
      <c r="CL6" s="216" t="s">
        <v>231</v>
      </c>
      <c r="CM6" s="216" t="s">
        <v>232</v>
      </c>
      <c r="CN6" s="216" t="s">
        <v>25</v>
      </c>
      <c r="CO6" s="225" t="s">
        <v>117</v>
      </c>
      <c r="CP6" s="216" t="s">
        <v>26</v>
      </c>
      <c r="CQ6" s="193"/>
      <c r="CR6" s="216" t="s">
        <v>24</v>
      </c>
      <c r="CS6" s="216" t="s">
        <v>231</v>
      </c>
      <c r="CT6" s="216" t="s">
        <v>232</v>
      </c>
      <c r="CU6" s="216" t="s">
        <v>25</v>
      </c>
      <c r="CV6" s="225" t="s">
        <v>117</v>
      </c>
      <c r="CW6" s="216" t="s">
        <v>26</v>
      </c>
      <c r="CX6" s="158"/>
    </row>
    <row r="7" spans="1:102" ht="17.25" customHeight="1">
      <c r="A7" s="208">
        <v>3</v>
      </c>
      <c r="B7" s="209" t="s">
        <v>168</v>
      </c>
      <c r="C7" s="226" t="s">
        <v>8</v>
      </c>
      <c r="D7" s="117">
        <f>INDEX(N7:N11,N5)</f>
        <v>5</v>
      </c>
      <c r="E7" s="227" t="s">
        <v>169</v>
      </c>
      <c r="F7" s="228"/>
      <c r="G7" s="229">
        <v>26</v>
      </c>
      <c r="H7" s="230" t="s">
        <v>126</v>
      </c>
      <c r="I7" s="231" t="s">
        <v>133</v>
      </c>
      <c r="J7" s="232">
        <f>PI()*J6*D19/60/1000</f>
        <v>0.3926990816987242</v>
      </c>
      <c r="K7" s="233" t="s">
        <v>13</v>
      </c>
      <c r="L7" s="182"/>
      <c r="M7" s="234" t="s">
        <v>254</v>
      </c>
      <c r="N7" s="235">
        <v>3</v>
      </c>
      <c r="O7" s="236">
        <v>8</v>
      </c>
      <c r="P7" s="237">
        <v>8</v>
      </c>
      <c r="Q7" s="238" t="s">
        <v>171</v>
      </c>
      <c r="R7" s="239">
        <v>285</v>
      </c>
      <c r="S7" s="240">
        <v>165</v>
      </c>
      <c r="T7" s="194">
        <v>1</v>
      </c>
      <c r="U7" s="195">
        <v>1.33</v>
      </c>
      <c r="V7" s="241">
        <f>0.0067*T7^2-0.1364*T7+1.4584</f>
        <v>1.3287</v>
      </c>
      <c r="W7" s="242">
        <v>0.1</v>
      </c>
      <c r="X7" s="237">
        <v>40</v>
      </c>
      <c r="Y7" s="243">
        <v>0.8</v>
      </c>
      <c r="Z7" s="244">
        <v>0.1</v>
      </c>
      <c r="AA7" s="245">
        <v>8</v>
      </c>
      <c r="AB7" s="246">
        <v>32</v>
      </c>
      <c r="AC7" s="247">
        <v>1.71</v>
      </c>
      <c r="AD7" s="248">
        <v>0.01</v>
      </c>
      <c r="AE7" s="249">
        <v>6.8</v>
      </c>
      <c r="AF7" s="158"/>
      <c r="AG7" s="158"/>
      <c r="AH7" s="158"/>
      <c r="AI7" s="158"/>
      <c r="AJ7" s="158"/>
      <c r="AK7" s="158"/>
      <c r="AL7" s="158"/>
      <c r="AM7" s="158"/>
      <c r="AN7" s="250">
        <v>40</v>
      </c>
      <c r="AO7" s="251">
        <f>1.4*AN7/$AN$5</f>
        <v>1.75</v>
      </c>
      <c r="AP7" s="251">
        <f>1.7*AN7/$AN$5</f>
        <v>2.125</v>
      </c>
      <c r="AQ7" s="252">
        <v>2</v>
      </c>
      <c r="AR7" s="251">
        <f>2*AN7/AQ7-$AN$5</f>
        <v>8</v>
      </c>
      <c r="AS7" s="253">
        <v>8</v>
      </c>
      <c r="AT7" s="158"/>
      <c r="AU7" s="250">
        <v>40</v>
      </c>
      <c r="AV7" s="251">
        <f>1.4*AU7/$AU$5</f>
        <v>1.5555555555555556</v>
      </c>
      <c r="AW7" s="251">
        <f>1.7*AU7/$AU$5</f>
        <v>1.8888888888888888</v>
      </c>
      <c r="AX7" s="252">
        <v>1.6</v>
      </c>
      <c r="AY7" s="251">
        <f>2*AU7/AX7-$AU$5</f>
        <v>14</v>
      </c>
      <c r="AZ7" s="253">
        <v>12.5</v>
      </c>
      <c r="BA7" s="193"/>
      <c r="BB7" s="250">
        <v>40</v>
      </c>
      <c r="BC7" s="251">
        <f>1.4*BB7/$BB$5</f>
        <v>1.4</v>
      </c>
      <c r="BD7" s="251">
        <f>1.7*BB7/$BB$5</f>
        <v>1.7</v>
      </c>
      <c r="BE7" s="252">
        <v>1.6</v>
      </c>
      <c r="BF7" s="251">
        <f>2*BB7/BE7-$BB$5</f>
        <v>10</v>
      </c>
      <c r="BG7" s="253">
        <v>10</v>
      </c>
      <c r="BH7" s="158"/>
      <c r="BI7" s="250">
        <v>40</v>
      </c>
      <c r="BJ7" s="251">
        <f>1.4*BI7/$BI$5</f>
        <v>1.2173913043478262</v>
      </c>
      <c r="BK7" s="251">
        <f>1.7*BI7/$BI$5</f>
        <v>1.4782608695652173</v>
      </c>
      <c r="BL7" s="252">
        <v>1.25</v>
      </c>
      <c r="BM7" s="251">
        <f>2*BI7/BL7-$BI$5</f>
        <v>18</v>
      </c>
      <c r="BN7" s="253">
        <v>16</v>
      </c>
      <c r="BO7" s="193"/>
      <c r="BP7" s="250">
        <v>40</v>
      </c>
      <c r="BQ7" s="251">
        <f>1.4*BP7/$BP$5</f>
        <v>1.12</v>
      </c>
      <c r="BR7" s="251">
        <f>1.7*BP7/$BP$5</f>
        <v>1.36</v>
      </c>
      <c r="BS7" s="252">
        <v>1.25</v>
      </c>
      <c r="BT7" s="251">
        <f>2*BP7/BS7-$BP$5</f>
        <v>14</v>
      </c>
      <c r="BU7" s="253">
        <v>12.5</v>
      </c>
      <c r="BV7" s="158"/>
      <c r="BW7" s="250">
        <v>40</v>
      </c>
      <c r="BX7" s="251">
        <f>1.4*BW7/$BW$5</f>
        <v>0.9655172413793104</v>
      </c>
      <c r="BY7" s="251">
        <f>1.7*BW7/$BW$5</f>
        <v>1.1724137931034482</v>
      </c>
      <c r="BZ7" s="252">
        <v>1</v>
      </c>
      <c r="CA7" s="251">
        <f>2*BW7/BZ7-$BW$5</f>
        <v>22</v>
      </c>
      <c r="CB7" s="253">
        <v>20</v>
      </c>
      <c r="CC7" s="158"/>
      <c r="CD7" s="250">
        <v>40</v>
      </c>
      <c r="CE7" s="251">
        <f>1.4*CD7/$CD$5</f>
        <v>0.8888888888888888</v>
      </c>
      <c r="CF7" s="251">
        <f>1.7*CD7/$CD$5</f>
        <v>1.0793650793650793</v>
      </c>
      <c r="CG7" s="252">
        <v>1</v>
      </c>
      <c r="CH7" s="251">
        <f>2*CD7/CG7-$CD$5</f>
        <v>17</v>
      </c>
      <c r="CI7" s="253">
        <v>16</v>
      </c>
      <c r="CJ7" s="158"/>
      <c r="CK7" s="250">
        <v>40</v>
      </c>
      <c r="CL7" s="251">
        <f>1.4*CK7/$CK$5</f>
        <v>0.7671232876712328</v>
      </c>
      <c r="CM7" s="251">
        <f>1.7*CK7/$CK$5</f>
        <v>0.9315068493150684</v>
      </c>
      <c r="CN7" s="254">
        <v>0.8</v>
      </c>
      <c r="CO7" s="251">
        <f>2*CK7/CN7-$CK$5</f>
        <v>27</v>
      </c>
      <c r="CP7" s="255">
        <v>25</v>
      </c>
      <c r="CQ7" s="193"/>
      <c r="CR7" s="250">
        <v>40</v>
      </c>
      <c r="CS7" s="251">
        <f>1.4*CR7/$CR$5</f>
        <v>0.7</v>
      </c>
      <c r="CT7" s="251">
        <f>1.7*CR7/$CR$5</f>
        <v>0.85</v>
      </c>
      <c r="CU7" s="254">
        <v>0.8</v>
      </c>
      <c r="CV7" s="251">
        <f>2*CR7/CU7-$CR$5</f>
        <v>20</v>
      </c>
      <c r="CW7" s="253">
        <v>20</v>
      </c>
      <c r="CX7" s="158"/>
    </row>
    <row r="8" spans="1:102" ht="17.25" customHeight="1" thickBot="1">
      <c r="A8" s="256">
        <v>4</v>
      </c>
      <c r="B8" s="257" t="s">
        <v>236</v>
      </c>
      <c r="C8" s="258" t="s">
        <v>183</v>
      </c>
      <c r="D8" s="150">
        <f>INDEX(O7:O27,O5)</f>
        <v>16</v>
      </c>
      <c r="E8" s="260"/>
      <c r="F8" s="159"/>
      <c r="G8" s="261">
        <v>27</v>
      </c>
      <c r="H8" s="262" t="s">
        <v>233</v>
      </c>
      <c r="I8" s="226" t="s">
        <v>128</v>
      </c>
      <c r="J8" s="263">
        <f>IF(J7&lt;3,1,1.2)</f>
        <v>1</v>
      </c>
      <c r="K8" s="264"/>
      <c r="L8" s="182"/>
      <c r="M8" s="265" t="s">
        <v>255</v>
      </c>
      <c r="N8" s="266">
        <v>5</v>
      </c>
      <c r="O8" s="267">
        <v>9</v>
      </c>
      <c r="P8" s="268">
        <v>9</v>
      </c>
      <c r="Q8" s="269" t="s">
        <v>172</v>
      </c>
      <c r="R8" s="270">
        <v>215</v>
      </c>
      <c r="S8" s="271">
        <v>140</v>
      </c>
      <c r="T8" s="267">
        <v>2</v>
      </c>
      <c r="U8" s="272">
        <v>1.21</v>
      </c>
      <c r="V8" s="273">
        <f aca="true" t="shared" si="0" ref="V8:V14">0.0067*T8^2-0.1364*T8+1.4584</f>
        <v>1.2124</v>
      </c>
      <c r="W8" s="274">
        <v>40</v>
      </c>
      <c r="X8" s="275">
        <v>40</v>
      </c>
      <c r="Y8" s="276">
        <v>1</v>
      </c>
      <c r="Z8" s="277">
        <v>8</v>
      </c>
      <c r="AA8" s="278">
        <v>8</v>
      </c>
      <c r="AB8" s="279">
        <v>33</v>
      </c>
      <c r="AC8" s="280">
        <f>AC7-0.07/3</f>
        <v>1.6866666666666665</v>
      </c>
      <c r="AD8" s="281">
        <v>0.015</v>
      </c>
      <c r="AE8" s="282">
        <f aca="true" t="shared" si="1" ref="AE8:AE20">AE7-1.6/18</f>
        <v>6.711111111111111</v>
      </c>
      <c r="AF8" s="158"/>
      <c r="AG8" s="283"/>
      <c r="AH8" s="158"/>
      <c r="AI8" s="158"/>
      <c r="AJ8" s="158"/>
      <c r="AK8" s="158"/>
      <c r="AL8" s="158"/>
      <c r="AM8" s="158"/>
      <c r="AN8" s="284">
        <v>50</v>
      </c>
      <c r="AO8" s="285">
        <f aca="true" t="shared" si="2" ref="AO8:AO24">1.4*AN8/$AN$5</f>
        <v>2.1875</v>
      </c>
      <c r="AP8" s="285">
        <f aca="true" t="shared" si="3" ref="AP8:AP24">1.7*AN8/$AN$5</f>
        <v>2.65625</v>
      </c>
      <c r="AQ8" s="286">
        <v>2.5</v>
      </c>
      <c r="AR8" s="285">
        <f aca="true" t="shared" si="4" ref="AR8:AR24">2*AN8/AQ8-$AN$5</f>
        <v>8</v>
      </c>
      <c r="AS8" s="287">
        <v>8</v>
      </c>
      <c r="AT8" s="158"/>
      <c r="AU8" s="284">
        <v>50</v>
      </c>
      <c r="AV8" s="285">
        <f aca="true" t="shared" si="5" ref="AV8:AV24">1.4*AU8/$AU$5</f>
        <v>1.9444444444444444</v>
      </c>
      <c r="AW8" s="285">
        <f aca="true" t="shared" si="6" ref="AW8:AW24">1.7*AU8/$AU$5</f>
        <v>2.361111111111111</v>
      </c>
      <c r="AX8" s="286">
        <v>2</v>
      </c>
      <c r="AY8" s="285">
        <f aca="true" t="shared" si="7" ref="AY8:AY24">2*AU8/AX8-$AU$5</f>
        <v>14</v>
      </c>
      <c r="AZ8" s="287">
        <v>12.5</v>
      </c>
      <c r="BA8" s="193"/>
      <c r="BB8" s="284">
        <v>50</v>
      </c>
      <c r="BC8" s="285">
        <f aca="true" t="shared" si="8" ref="BC8:BC24">1.4*BB8/$BB$5</f>
        <v>1.75</v>
      </c>
      <c r="BD8" s="285">
        <f aca="true" t="shared" si="9" ref="BD8:BD24">1.7*BB8/$BB$5</f>
        <v>2.125</v>
      </c>
      <c r="BE8" s="286">
        <v>2</v>
      </c>
      <c r="BF8" s="285">
        <f aca="true" t="shared" si="10" ref="BF8:BF24">2*BB8/BE8-$BB$5</f>
        <v>10</v>
      </c>
      <c r="BG8" s="287">
        <v>10</v>
      </c>
      <c r="BH8" s="158"/>
      <c r="BI8" s="284">
        <v>50</v>
      </c>
      <c r="BJ8" s="285">
        <f aca="true" t="shared" si="11" ref="BJ8:BJ24">1.4*BI8/$BI$5</f>
        <v>1.5217391304347827</v>
      </c>
      <c r="BK8" s="285">
        <f aca="true" t="shared" si="12" ref="BK8:BK24">1.7*BI8/$BI$5</f>
        <v>1.8478260869565217</v>
      </c>
      <c r="BL8" s="286">
        <v>1.6</v>
      </c>
      <c r="BM8" s="285">
        <f aca="true" t="shared" si="13" ref="BM8:BM24">2*BI8/BL8-$BI$5</f>
        <v>16.5</v>
      </c>
      <c r="BN8" s="287">
        <v>16</v>
      </c>
      <c r="BO8" s="193"/>
      <c r="BP8" s="284">
        <v>50</v>
      </c>
      <c r="BQ8" s="285">
        <f aca="true" t="shared" si="14" ref="BQ8:BQ23">1.4*BP8/$BP$5</f>
        <v>1.4</v>
      </c>
      <c r="BR8" s="285">
        <f aca="true" t="shared" si="15" ref="BR8:BR24">1.7*BP8/$BP$5</f>
        <v>1.7</v>
      </c>
      <c r="BS8" s="286">
        <v>1.6</v>
      </c>
      <c r="BT8" s="285">
        <f aca="true" t="shared" si="16" ref="BT8:BT24">2*BP8/BS8-$BP$5</f>
        <v>12.5</v>
      </c>
      <c r="BU8" s="287">
        <v>12.5</v>
      </c>
      <c r="BV8" s="158"/>
      <c r="BW8" s="284">
        <v>50</v>
      </c>
      <c r="BX8" s="285">
        <f aca="true" t="shared" si="17" ref="BX8:BX24">1.4*BW8/$BW$5</f>
        <v>1.206896551724138</v>
      </c>
      <c r="BY8" s="285">
        <f aca="true" t="shared" si="18" ref="BY8:BY23">1.7*BW8/$BW$5</f>
        <v>1.4655172413793103</v>
      </c>
      <c r="BZ8" s="286">
        <v>1.25</v>
      </c>
      <c r="CA8" s="285">
        <f aca="true" t="shared" si="19" ref="CA8:CA24">2*BW8/BZ8-$BW$5</f>
        <v>22</v>
      </c>
      <c r="CB8" s="287">
        <v>20</v>
      </c>
      <c r="CC8" s="158"/>
      <c r="CD8" s="284">
        <v>50</v>
      </c>
      <c r="CE8" s="285">
        <f aca="true" t="shared" si="20" ref="CE8:CE24">1.4*CD8/$CD$5</f>
        <v>1.1111111111111112</v>
      </c>
      <c r="CF8" s="285">
        <f aca="true" t="shared" si="21" ref="CF8:CF24">1.7*CD8/$CD$5</f>
        <v>1.3492063492063493</v>
      </c>
      <c r="CG8" s="286">
        <v>1.25</v>
      </c>
      <c r="CH8" s="285">
        <f aca="true" t="shared" si="22" ref="CH8:CH24">2*CD8/CG8-$CD$5</f>
        <v>17</v>
      </c>
      <c r="CI8" s="287">
        <v>16</v>
      </c>
      <c r="CJ8" s="158"/>
      <c r="CK8" s="284">
        <v>50</v>
      </c>
      <c r="CL8" s="285">
        <f aca="true" t="shared" si="23" ref="CL8:CL24">1.4*CK8/$CK$5</f>
        <v>0.958904109589041</v>
      </c>
      <c r="CM8" s="285">
        <f aca="true" t="shared" si="24" ref="CM8:CM24">1.7*CK8/$CK$5</f>
        <v>1.1643835616438356</v>
      </c>
      <c r="CN8" s="286">
        <v>1</v>
      </c>
      <c r="CO8" s="285">
        <f aca="true" t="shared" si="25" ref="CO8:CO24">2*CK8/CN8-$CK$5</f>
        <v>27</v>
      </c>
      <c r="CP8" s="288">
        <v>25</v>
      </c>
      <c r="CQ8" s="193"/>
      <c r="CR8" s="284">
        <v>50</v>
      </c>
      <c r="CS8" s="285">
        <f aca="true" t="shared" si="26" ref="CS8:CS24">1.4*CR8/$CR$5</f>
        <v>0.875</v>
      </c>
      <c r="CT8" s="285">
        <f aca="true" t="shared" si="27" ref="CT8:CT24">1.7*CR8/$CR$5</f>
        <v>1.0625</v>
      </c>
      <c r="CU8" s="286">
        <v>1</v>
      </c>
      <c r="CV8" s="285">
        <f aca="true" t="shared" si="28" ref="CV8:CV24">2*CR8/CU8-$CR$5</f>
        <v>20</v>
      </c>
      <c r="CW8" s="287">
        <v>20</v>
      </c>
      <c r="CX8" s="158"/>
    </row>
    <row r="9" spans="1:102" ht="17.25" customHeight="1" thickBot="1">
      <c r="A9" s="289">
        <v>5</v>
      </c>
      <c r="B9" s="290" t="s">
        <v>33</v>
      </c>
      <c r="C9" s="531" t="s">
        <v>34</v>
      </c>
      <c r="D9" s="531"/>
      <c r="E9" s="532"/>
      <c r="F9" s="291"/>
      <c r="G9" s="261">
        <v>28</v>
      </c>
      <c r="H9" s="292" t="s">
        <v>127</v>
      </c>
      <c r="I9" s="226" t="s">
        <v>129</v>
      </c>
      <c r="J9" s="263">
        <f>1</f>
        <v>1</v>
      </c>
      <c r="K9" s="264"/>
      <c r="L9" s="182"/>
      <c r="M9" s="158"/>
      <c r="N9" s="266">
        <v>7</v>
      </c>
      <c r="O9" s="293">
        <v>10</v>
      </c>
      <c r="P9" s="294">
        <v>10</v>
      </c>
      <c r="Q9" s="269" t="s">
        <v>173</v>
      </c>
      <c r="R9" s="270">
        <v>250</v>
      </c>
      <c r="S9" s="271">
        <v>200</v>
      </c>
      <c r="T9" s="267">
        <v>3</v>
      </c>
      <c r="U9" s="272">
        <v>1.11</v>
      </c>
      <c r="V9" s="273">
        <f t="shared" si="0"/>
        <v>1.1095</v>
      </c>
      <c r="W9" s="295">
        <v>45</v>
      </c>
      <c r="X9" s="294">
        <v>50</v>
      </c>
      <c r="Y9" s="276">
        <v>1.25</v>
      </c>
      <c r="Z9" s="296">
        <v>9.01</v>
      </c>
      <c r="AA9" s="278">
        <v>10</v>
      </c>
      <c r="AB9" s="279">
        <v>34</v>
      </c>
      <c r="AC9" s="280">
        <f>AC8-0.07/3</f>
        <v>1.663333333333333</v>
      </c>
      <c r="AD9" s="281">
        <v>0.02</v>
      </c>
      <c r="AE9" s="282">
        <f t="shared" si="1"/>
        <v>6.622222222222223</v>
      </c>
      <c r="AF9" s="158"/>
      <c r="AG9" s="158"/>
      <c r="AH9" s="158"/>
      <c r="AI9" s="158"/>
      <c r="AJ9" s="158"/>
      <c r="AK9" s="158"/>
      <c r="AL9" s="158"/>
      <c r="AM9" s="158"/>
      <c r="AN9" s="284">
        <v>63</v>
      </c>
      <c r="AO9" s="285">
        <f t="shared" si="2"/>
        <v>2.7562499999999996</v>
      </c>
      <c r="AP9" s="285">
        <f t="shared" si="3"/>
        <v>3.346875</v>
      </c>
      <c r="AQ9" s="286">
        <v>3.15</v>
      </c>
      <c r="AR9" s="285">
        <f t="shared" si="4"/>
        <v>8</v>
      </c>
      <c r="AS9" s="287">
        <v>8</v>
      </c>
      <c r="AT9" s="158"/>
      <c r="AU9" s="284">
        <v>63</v>
      </c>
      <c r="AV9" s="285">
        <f t="shared" si="5"/>
        <v>2.4499999999999997</v>
      </c>
      <c r="AW9" s="285">
        <f t="shared" si="6"/>
        <v>2.9749999999999996</v>
      </c>
      <c r="AX9" s="286">
        <v>2.5</v>
      </c>
      <c r="AY9" s="285">
        <f t="shared" si="7"/>
        <v>14.399999999999999</v>
      </c>
      <c r="AZ9" s="287">
        <v>12.5</v>
      </c>
      <c r="BA9" s="193"/>
      <c r="BB9" s="284">
        <v>63</v>
      </c>
      <c r="BC9" s="285">
        <f t="shared" si="8"/>
        <v>2.2049999999999996</v>
      </c>
      <c r="BD9" s="285">
        <f t="shared" si="9"/>
        <v>2.6774999999999998</v>
      </c>
      <c r="BE9" s="286">
        <v>2.5</v>
      </c>
      <c r="BF9" s="285">
        <f t="shared" si="10"/>
        <v>10.399999999999999</v>
      </c>
      <c r="BG9" s="287">
        <v>10</v>
      </c>
      <c r="BH9" s="158"/>
      <c r="BI9" s="284">
        <v>63</v>
      </c>
      <c r="BJ9" s="285">
        <f t="shared" si="11"/>
        <v>1.917391304347826</v>
      </c>
      <c r="BK9" s="285">
        <f t="shared" si="12"/>
        <v>2.3282608695652174</v>
      </c>
      <c r="BL9" s="286">
        <v>2</v>
      </c>
      <c r="BM9" s="285">
        <f t="shared" si="13"/>
        <v>17</v>
      </c>
      <c r="BN9" s="287">
        <v>16</v>
      </c>
      <c r="BO9" s="193"/>
      <c r="BP9" s="284">
        <v>63</v>
      </c>
      <c r="BQ9" s="285">
        <f t="shared" si="14"/>
        <v>1.7639999999999998</v>
      </c>
      <c r="BR9" s="285">
        <f t="shared" si="15"/>
        <v>2.142</v>
      </c>
      <c r="BS9" s="286">
        <v>2</v>
      </c>
      <c r="BT9" s="285">
        <f t="shared" si="16"/>
        <v>13</v>
      </c>
      <c r="BU9" s="287">
        <v>12.5</v>
      </c>
      <c r="BV9" s="158"/>
      <c r="BW9" s="284">
        <v>63</v>
      </c>
      <c r="BX9" s="285">
        <f t="shared" si="17"/>
        <v>1.5206896551724136</v>
      </c>
      <c r="BY9" s="285">
        <f t="shared" si="18"/>
        <v>1.846551724137931</v>
      </c>
      <c r="BZ9" s="286">
        <v>1.6</v>
      </c>
      <c r="CA9" s="285">
        <f t="shared" si="19"/>
        <v>20.75</v>
      </c>
      <c r="CB9" s="287">
        <v>20</v>
      </c>
      <c r="CC9" s="158"/>
      <c r="CD9" s="284">
        <v>63</v>
      </c>
      <c r="CE9" s="285">
        <f t="shared" si="20"/>
        <v>1.4</v>
      </c>
      <c r="CF9" s="285">
        <f t="shared" si="21"/>
        <v>1.7</v>
      </c>
      <c r="CG9" s="286">
        <v>1.6</v>
      </c>
      <c r="CH9" s="285">
        <f t="shared" si="22"/>
        <v>15.75</v>
      </c>
      <c r="CI9" s="287">
        <v>16</v>
      </c>
      <c r="CJ9" s="158"/>
      <c r="CK9" s="297">
        <v>63</v>
      </c>
      <c r="CL9" s="298">
        <f t="shared" si="23"/>
        <v>1.2082191780821916</v>
      </c>
      <c r="CM9" s="298">
        <f t="shared" si="24"/>
        <v>1.4671232876712328</v>
      </c>
      <c r="CN9" s="298">
        <v>1.25</v>
      </c>
      <c r="CO9" s="298">
        <f t="shared" si="25"/>
        <v>27.799999999999997</v>
      </c>
      <c r="CP9" s="299">
        <v>25</v>
      </c>
      <c r="CQ9" s="193"/>
      <c r="CR9" s="284">
        <v>63</v>
      </c>
      <c r="CS9" s="285">
        <f t="shared" si="26"/>
        <v>1.1024999999999998</v>
      </c>
      <c r="CT9" s="285">
        <f t="shared" si="27"/>
        <v>1.3387499999999999</v>
      </c>
      <c r="CU9" s="286">
        <v>1.25</v>
      </c>
      <c r="CV9" s="285">
        <f t="shared" si="28"/>
        <v>20.799999999999997</v>
      </c>
      <c r="CW9" s="287">
        <v>20</v>
      </c>
      <c r="CX9" s="158"/>
    </row>
    <row r="10" spans="1:102" ht="17.25" customHeight="1">
      <c r="A10" s="300">
        <v>6</v>
      </c>
      <c r="B10" s="301" t="s">
        <v>14</v>
      </c>
      <c r="C10" s="563" t="s">
        <v>166</v>
      </c>
      <c r="D10" s="563"/>
      <c r="E10" s="564"/>
      <c r="F10" s="291"/>
      <c r="G10" s="261">
        <v>29</v>
      </c>
      <c r="H10" s="292" t="s">
        <v>131</v>
      </c>
      <c r="I10" s="302" t="s">
        <v>132</v>
      </c>
      <c r="J10" s="263">
        <f>PI()*D35*(D37+2*D38)*D12/60/1000/COS(J4/180*PI())</f>
        <v>1.6191397929268991</v>
      </c>
      <c r="K10" s="264" t="s">
        <v>13</v>
      </c>
      <c r="L10" s="182"/>
      <c r="M10" s="158"/>
      <c r="N10" s="266">
        <v>10</v>
      </c>
      <c r="O10" s="267">
        <v>11.2</v>
      </c>
      <c r="P10" s="303">
        <v>11.5</v>
      </c>
      <c r="Q10" s="269" t="s">
        <v>174</v>
      </c>
      <c r="R10" s="270">
        <v>150</v>
      </c>
      <c r="S10" s="271">
        <v>80</v>
      </c>
      <c r="T10" s="267">
        <v>4</v>
      </c>
      <c r="U10" s="272">
        <v>1.02</v>
      </c>
      <c r="V10" s="273">
        <f t="shared" si="0"/>
        <v>1.02</v>
      </c>
      <c r="W10" s="293">
        <v>50</v>
      </c>
      <c r="X10" s="294">
        <v>50</v>
      </c>
      <c r="Y10" s="276">
        <v>1.6</v>
      </c>
      <c r="Z10" s="277">
        <v>10</v>
      </c>
      <c r="AA10" s="278">
        <v>10</v>
      </c>
      <c r="AB10" s="304">
        <v>35</v>
      </c>
      <c r="AC10" s="305">
        <v>1.64</v>
      </c>
      <c r="AD10" s="281">
        <v>0.025</v>
      </c>
      <c r="AE10" s="282">
        <f t="shared" si="1"/>
        <v>6.533333333333334</v>
      </c>
      <c r="AF10" s="158"/>
      <c r="AG10" s="158"/>
      <c r="AH10" s="158"/>
      <c r="AI10" s="158"/>
      <c r="AJ10" s="158"/>
      <c r="AK10" s="158"/>
      <c r="AL10" s="158"/>
      <c r="AM10" s="158"/>
      <c r="AN10" s="284">
        <v>80</v>
      </c>
      <c r="AO10" s="285">
        <f t="shared" si="2"/>
        <v>3.5</v>
      </c>
      <c r="AP10" s="285">
        <f t="shared" si="3"/>
        <v>4.25</v>
      </c>
      <c r="AQ10" s="286">
        <v>4</v>
      </c>
      <c r="AR10" s="285">
        <f t="shared" si="4"/>
        <v>8</v>
      </c>
      <c r="AS10" s="287">
        <v>8</v>
      </c>
      <c r="AT10" s="158"/>
      <c r="AU10" s="284">
        <v>80</v>
      </c>
      <c r="AV10" s="285">
        <f t="shared" si="5"/>
        <v>3.111111111111111</v>
      </c>
      <c r="AW10" s="285">
        <f t="shared" si="6"/>
        <v>3.7777777777777777</v>
      </c>
      <c r="AX10" s="286">
        <v>3.15</v>
      </c>
      <c r="AY10" s="285">
        <f t="shared" si="7"/>
        <v>14.793650793650798</v>
      </c>
      <c r="AZ10" s="287">
        <v>16</v>
      </c>
      <c r="BA10" s="193"/>
      <c r="BB10" s="284">
        <v>80</v>
      </c>
      <c r="BC10" s="285">
        <f t="shared" si="8"/>
        <v>2.8</v>
      </c>
      <c r="BD10" s="285">
        <f t="shared" si="9"/>
        <v>3.4</v>
      </c>
      <c r="BE10" s="286">
        <v>3.15</v>
      </c>
      <c r="BF10" s="285">
        <f t="shared" si="10"/>
        <v>10.793650793650798</v>
      </c>
      <c r="BG10" s="287">
        <v>10</v>
      </c>
      <c r="BH10" s="158"/>
      <c r="BI10" s="284">
        <v>80</v>
      </c>
      <c r="BJ10" s="285">
        <f t="shared" si="11"/>
        <v>2.4347826086956523</v>
      </c>
      <c r="BK10" s="285">
        <f t="shared" si="12"/>
        <v>2.9565217391304346</v>
      </c>
      <c r="BL10" s="286">
        <v>2.5</v>
      </c>
      <c r="BM10" s="285">
        <f t="shared" si="13"/>
        <v>18</v>
      </c>
      <c r="BN10" s="287">
        <v>16</v>
      </c>
      <c r="BO10" s="193"/>
      <c r="BP10" s="284">
        <v>80</v>
      </c>
      <c r="BQ10" s="285">
        <f t="shared" si="14"/>
        <v>2.24</v>
      </c>
      <c r="BR10" s="285">
        <f t="shared" si="15"/>
        <v>2.72</v>
      </c>
      <c r="BS10" s="286">
        <v>2.5</v>
      </c>
      <c r="BT10" s="285">
        <f t="shared" si="16"/>
        <v>14</v>
      </c>
      <c r="BU10" s="287">
        <v>12.5</v>
      </c>
      <c r="BV10" s="158"/>
      <c r="BW10" s="284">
        <v>80</v>
      </c>
      <c r="BX10" s="285">
        <f t="shared" si="17"/>
        <v>1.9310344827586208</v>
      </c>
      <c r="BY10" s="285">
        <f t="shared" si="18"/>
        <v>2.3448275862068964</v>
      </c>
      <c r="BZ10" s="286">
        <v>2</v>
      </c>
      <c r="CA10" s="285">
        <f t="shared" si="19"/>
        <v>22</v>
      </c>
      <c r="CB10" s="287">
        <v>20</v>
      </c>
      <c r="CC10" s="158"/>
      <c r="CD10" s="284">
        <v>80</v>
      </c>
      <c r="CE10" s="285">
        <f t="shared" si="20"/>
        <v>1.7777777777777777</v>
      </c>
      <c r="CF10" s="285">
        <f t="shared" si="21"/>
        <v>2.1587301587301586</v>
      </c>
      <c r="CG10" s="286">
        <v>2</v>
      </c>
      <c r="CH10" s="285">
        <f t="shared" si="22"/>
        <v>17</v>
      </c>
      <c r="CI10" s="287">
        <v>16</v>
      </c>
      <c r="CJ10" s="158"/>
      <c r="CK10" s="284">
        <v>80</v>
      </c>
      <c r="CL10" s="285">
        <f t="shared" si="23"/>
        <v>1.5342465753424657</v>
      </c>
      <c r="CM10" s="285">
        <f t="shared" si="24"/>
        <v>1.8630136986301369</v>
      </c>
      <c r="CN10" s="286">
        <v>1.6</v>
      </c>
      <c r="CO10" s="285">
        <f t="shared" si="25"/>
        <v>27</v>
      </c>
      <c r="CP10" s="288">
        <v>25</v>
      </c>
      <c r="CQ10" s="193"/>
      <c r="CR10" s="284">
        <v>80</v>
      </c>
      <c r="CS10" s="285">
        <f t="shared" si="26"/>
        <v>1.4</v>
      </c>
      <c r="CT10" s="285">
        <f t="shared" si="27"/>
        <v>1.7</v>
      </c>
      <c r="CU10" s="286">
        <v>1.6</v>
      </c>
      <c r="CV10" s="285">
        <f t="shared" si="28"/>
        <v>20</v>
      </c>
      <c r="CW10" s="287">
        <v>20</v>
      </c>
      <c r="CX10" s="158"/>
    </row>
    <row r="11" spans="1:102" ht="17.25" customHeight="1" thickBot="1">
      <c r="A11" s="306">
        <v>7</v>
      </c>
      <c r="B11" s="200" t="s">
        <v>15</v>
      </c>
      <c r="C11" s="565" t="str">
        <f>INDEX(Q7:Q18,Q5)</f>
        <v>БрА9Ж3Л (песч. форма)</v>
      </c>
      <c r="D11" s="565"/>
      <c r="E11" s="566"/>
      <c r="F11" s="159"/>
      <c r="G11" s="261">
        <v>30</v>
      </c>
      <c r="H11" s="292" t="s">
        <v>234</v>
      </c>
      <c r="I11" s="307" t="s">
        <v>135</v>
      </c>
      <c r="J11" s="308">
        <f>IF(J10&lt;=1,1.33,IF(J10&gt;=8,0.8,0.0067*J10^2-0.1364*J10+1.4584))</f>
        <v>1.2551141438273345</v>
      </c>
      <c r="K11" s="264"/>
      <c r="L11" s="182"/>
      <c r="M11" s="158"/>
      <c r="N11" s="309">
        <v>15</v>
      </c>
      <c r="O11" s="293">
        <v>12.5</v>
      </c>
      <c r="P11" s="294">
        <v>12.5</v>
      </c>
      <c r="Q11" s="310" t="s">
        <v>175</v>
      </c>
      <c r="R11" s="259">
        <v>200</v>
      </c>
      <c r="S11" s="311">
        <v>90</v>
      </c>
      <c r="T11" s="267">
        <v>5</v>
      </c>
      <c r="U11" s="272">
        <v>0.95</v>
      </c>
      <c r="V11" s="273">
        <f t="shared" si="0"/>
        <v>0.9439</v>
      </c>
      <c r="W11" s="295">
        <v>56.5</v>
      </c>
      <c r="X11" s="294">
        <v>63</v>
      </c>
      <c r="Y11" s="276">
        <v>2</v>
      </c>
      <c r="Z11" s="277">
        <v>11.25</v>
      </c>
      <c r="AA11" s="278">
        <v>12.5</v>
      </c>
      <c r="AB11" s="279">
        <v>36</v>
      </c>
      <c r="AC11" s="280">
        <v>1.625</v>
      </c>
      <c r="AD11" s="281">
        <v>0.03</v>
      </c>
      <c r="AE11" s="282">
        <f t="shared" si="1"/>
        <v>6.4444444444444455</v>
      </c>
      <c r="AF11" s="158"/>
      <c r="AG11" s="158"/>
      <c r="AH11" s="158"/>
      <c r="AI11" s="158"/>
      <c r="AJ11" s="158"/>
      <c r="AK11" s="158"/>
      <c r="AL11" s="158"/>
      <c r="AM11" s="158"/>
      <c r="AN11" s="284">
        <v>100</v>
      </c>
      <c r="AO11" s="285">
        <f t="shared" si="2"/>
        <v>4.375</v>
      </c>
      <c r="AP11" s="285">
        <f t="shared" si="3"/>
        <v>5.3125</v>
      </c>
      <c r="AQ11" s="286">
        <v>5</v>
      </c>
      <c r="AR11" s="285">
        <f t="shared" si="4"/>
        <v>8</v>
      </c>
      <c r="AS11" s="287">
        <v>8</v>
      </c>
      <c r="AT11" s="158"/>
      <c r="AU11" s="284">
        <v>100</v>
      </c>
      <c r="AV11" s="285">
        <f t="shared" si="5"/>
        <v>3.888888888888889</v>
      </c>
      <c r="AW11" s="285">
        <f t="shared" si="6"/>
        <v>4.722222222222222</v>
      </c>
      <c r="AX11" s="286">
        <v>4</v>
      </c>
      <c r="AY11" s="285">
        <f t="shared" si="7"/>
        <v>14</v>
      </c>
      <c r="AZ11" s="287">
        <v>12.5</v>
      </c>
      <c r="BA11" s="193"/>
      <c r="BB11" s="284">
        <v>100</v>
      </c>
      <c r="BC11" s="285">
        <f t="shared" si="8"/>
        <v>3.5</v>
      </c>
      <c r="BD11" s="285">
        <f t="shared" si="9"/>
        <v>4.25</v>
      </c>
      <c r="BE11" s="286">
        <v>4</v>
      </c>
      <c r="BF11" s="285">
        <f t="shared" si="10"/>
        <v>10</v>
      </c>
      <c r="BG11" s="287">
        <v>10</v>
      </c>
      <c r="BH11" s="158"/>
      <c r="BI11" s="284">
        <v>100</v>
      </c>
      <c r="BJ11" s="285">
        <f t="shared" si="11"/>
        <v>3.0434782608695654</v>
      </c>
      <c r="BK11" s="285">
        <f t="shared" si="12"/>
        <v>3.6956521739130435</v>
      </c>
      <c r="BL11" s="286">
        <v>3.15</v>
      </c>
      <c r="BM11" s="285">
        <f t="shared" si="13"/>
        <v>17.492063492063494</v>
      </c>
      <c r="BN11" s="287">
        <v>16</v>
      </c>
      <c r="BO11" s="193"/>
      <c r="BP11" s="284">
        <v>100</v>
      </c>
      <c r="BQ11" s="285">
        <f t="shared" si="14"/>
        <v>2.8</v>
      </c>
      <c r="BR11" s="285">
        <f t="shared" si="15"/>
        <v>3.4</v>
      </c>
      <c r="BS11" s="286">
        <v>3.15</v>
      </c>
      <c r="BT11" s="285">
        <f t="shared" si="16"/>
        <v>13.492063492063494</v>
      </c>
      <c r="BU11" s="287">
        <v>12.5</v>
      </c>
      <c r="BV11" s="158"/>
      <c r="BW11" s="284">
        <v>100</v>
      </c>
      <c r="BX11" s="285">
        <f t="shared" si="17"/>
        <v>2.413793103448276</v>
      </c>
      <c r="BY11" s="285">
        <f t="shared" si="18"/>
        <v>2.9310344827586206</v>
      </c>
      <c r="BZ11" s="286">
        <v>2.5</v>
      </c>
      <c r="CA11" s="285">
        <f t="shared" si="19"/>
        <v>22</v>
      </c>
      <c r="CB11" s="287">
        <v>20</v>
      </c>
      <c r="CC11" s="158"/>
      <c r="CD11" s="284">
        <v>100</v>
      </c>
      <c r="CE11" s="285">
        <f t="shared" si="20"/>
        <v>2.2222222222222223</v>
      </c>
      <c r="CF11" s="285">
        <f t="shared" si="21"/>
        <v>2.6984126984126986</v>
      </c>
      <c r="CG11" s="286">
        <v>2.5</v>
      </c>
      <c r="CH11" s="285">
        <f t="shared" si="22"/>
        <v>17</v>
      </c>
      <c r="CI11" s="287">
        <v>16</v>
      </c>
      <c r="CJ11" s="158"/>
      <c r="CK11" s="284">
        <v>100</v>
      </c>
      <c r="CL11" s="285">
        <f t="shared" si="23"/>
        <v>1.917808219178082</v>
      </c>
      <c r="CM11" s="285">
        <f t="shared" si="24"/>
        <v>2.328767123287671</v>
      </c>
      <c r="CN11" s="286">
        <v>2</v>
      </c>
      <c r="CO11" s="285">
        <f t="shared" si="25"/>
        <v>27</v>
      </c>
      <c r="CP11" s="288">
        <v>25</v>
      </c>
      <c r="CQ11" s="193"/>
      <c r="CR11" s="284">
        <v>100</v>
      </c>
      <c r="CS11" s="285">
        <f t="shared" si="26"/>
        <v>1.75</v>
      </c>
      <c r="CT11" s="285">
        <f t="shared" si="27"/>
        <v>2.125</v>
      </c>
      <c r="CU11" s="286">
        <v>2</v>
      </c>
      <c r="CV11" s="285">
        <f t="shared" si="28"/>
        <v>20</v>
      </c>
      <c r="CW11" s="287">
        <v>20</v>
      </c>
      <c r="CX11" s="158"/>
    </row>
    <row r="12" spans="1:102" ht="17.25" customHeight="1" thickBot="1">
      <c r="A12" s="312">
        <v>8</v>
      </c>
      <c r="B12" s="313" t="s">
        <v>4</v>
      </c>
      <c r="C12" s="314" t="s">
        <v>167</v>
      </c>
      <c r="D12" s="151">
        <v>1500</v>
      </c>
      <c r="E12" s="315" t="s">
        <v>6</v>
      </c>
      <c r="F12" s="196"/>
      <c r="G12" s="316">
        <v>31</v>
      </c>
      <c r="H12" s="317" t="s">
        <v>134</v>
      </c>
      <c r="I12" s="318" t="s">
        <v>160</v>
      </c>
      <c r="J12" s="319">
        <f>IF(OR(Q5=1,Q5=2,Q5=3,Q5=4,Q5=5),0.9*D28*J11*D26,IF(OR(Q5=6,Q5=7,Q5=8),300-25*J10,200-35*J10))</f>
        <v>259.52150517682753</v>
      </c>
      <c r="K12" s="320" t="s">
        <v>22</v>
      </c>
      <c r="L12" s="182"/>
      <c r="M12" s="158"/>
      <c r="N12" s="158"/>
      <c r="O12" s="267">
        <v>14</v>
      </c>
      <c r="P12" s="303">
        <v>14.5</v>
      </c>
      <c r="Q12" s="321" t="s">
        <v>176</v>
      </c>
      <c r="R12" s="322">
        <v>390</v>
      </c>
      <c r="S12" s="323">
        <v>195</v>
      </c>
      <c r="T12" s="267">
        <v>6</v>
      </c>
      <c r="U12" s="272">
        <v>0.88</v>
      </c>
      <c r="V12" s="273">
        <f t="shared" si="0"/>
        <v>0.8811999999999999</v>
      </c>
      <c r="W12" s="293">
        <v>63</v>
      </c>
      <c r="X12" s="294">
        <v>63</v>
      </c>
      <c r="Y12" s="276">
        <v>2.5</v>
      </c>
      <c r="Z12" s="277">
        <v>12.5</v>
      </c>
      <c r="AA12" s="278">
        <v>12.5</v>
      </c>
      <c r="AB12" s="304">
        <v>37</v>
      </c>
      <c r="AC12" s="305">
        <v>1.61</v>
      </c>
      <c r="AD12" s="281">
        <v>0.035</v>
      </c>
      <c r="AE12" s="282">
        <f t="shared" si="1"/>
        <v>6.355555555555557</v>
      </c>
      <c r="AF12" s="158"/>
      <c r="AG12" s="158"/>
      <c r="AH12" s="158"/>
      <c r="AI12" s="158"/>
      <c r="AJ12" s="158"/>
      <c r="AK12" s="158"/>
      <c r="AL12" s="158"/>
      <c r="AM12" s="158"/>
      <c r="AN12" s="284">
        <v>125</v>
      </c>
      <c r="AO12" s="285">
        <f t="shared" si="2"/>
        <v>5.46875</v>
      </c>
      <c r="AP12" s="285">
        <f t="shared" si="3"/>
        <v>6.640625</v>
      </c>
      <c r="AQ12" s="286">
        <v>6.3</v>
      </c>
      <c r="AR12" s="285">
        <f t="shared" si="4"/>
        <v>7.682539682539684</v>
      </c>
      <c r="AS12" s="287">
        <v>8</v>
      </c>
      <c r="AT12" s="158"/>
      <c r="AU12" s="284">
        <v>125</v>
      </c>
      <c r="AV12" s="285">
        <f t="shared" si="5"/>
        <v>4.861111111111111</v>
      </c>
      <c r="AW12" s="285">
        <f t="shared" si="6"/>
        <v>5.902777777777778</v>
      </c>
      <c r="AX12" s="286">
        <v>5</v>
      </c>
      <c r="AY12" s="285">
        <f t="shared" si="7"/>
        <v>14</v>
      </c>
      <c r="AZ12" s="287">
        <v>12.5</v>
      </c>
      <c r="BA12" s="193"/>
      <c r="BB12" s="284">
        <v>125</v>
      </c>
      <c r="BC12" s="285">
        <f t="shared" si="8"/>
        <v>4.375</v>
      </c>
      <c r="BD12" s="285">
        <f t="shared" si="9"/>
        <v>5.3125</v>
      </c>
      <c r="BE12" s="286">
        <v>5</v>
      </c>
      <c r="BF12" s="285">
        <f t="shared" si="10"/>
        <v>10</v>
      </c>
      <c r="BG12" s="287">
        <v>10</v>
      </c>
      <c r="BH12" s="158"/>
      <c r="BI12" s="284">
        <v>125</v>
      </c>
      <c r="BJ12" s="285">
        <f t="shared" si="11"/>
        <v>3.8043478260869565</v>
      </c>
      <c r="BK12" s="285">
        <f t="shared" si="12"/>
        <v>4.619565217391305</v>
      </c>
      <c r="BL12" s="286">
        <v>4</v>
      </c>
      <c r="BM12" s="285">
        <f t="shared" si="13"/>
        <v>16.5</v>
      </c>
      <c r="BN12" s="287">
        <v>16</v>
      </c>
      <c r="BO12" s="193"/>
      <c r="BP12" s="284">
        <v>125</v>
      </c>
      <c r="BQ12" s="285">
        <f t="shared" si="14"/>
        <v>3.5</v>
      </c>
      <c r="BR12" s="285">
        <f t="shared" si="15"/>
        <v>4.25</v>
      </c>
      <c r="BS12" s="286">
        <v>4</v>
      </c>
      <c r="BT12" s="285">
        <f t="shared" si="16"/>
        <v>12.5</v>
      </c>
      <c r="BU12" s="287">
        <v>12.5</v>
      </c>
      <c r="BV12" s="158"/>
      <c r="BW12" s="284">
        <v>125</v>
      </c>
      <c r="BX12" s="285">
        <f t="shared" si="17"/>
        <v>3.0172413793103448</v>
      </c>
      <c r="BY12" s="285">
        <f t="shared" si="18"/>
        <v>3.663793103448276</v>
      </c>
      <c r="BZ12" s="286">
        <v>3.15</v>
      </c>
      <c r="CA12" s="285">
        <f t="shared" si="19"/>
        <v>21.365079365079367</v>
      </c>
      <c r="CB12" s="287">
        <v>20</v>
      </c>
      <c r="CC12" s="158"/>
      <c r="CD12" s="284">
        <v>125</v>
      </c>
      <c r="CE12" s="285">
        <f t="shared" si="20"/>
        <v>2.7777777777777777</v>
      </c>
      <c r="CF12" s="285">
        <f t="shared" si="21"/>
        <v>3.373015873015873</v>
      </c>
      <c r="CG12" s="286">
        <v>3.15</v>
      </c>
      <c r="CH12" s="285">
        <f t="shared" si="22"/>
        <v>16.365079365079367</v>
      </c>
      <c r="CI12" s="287">
        <v>16</v>
      </c>
      <c r="CJ12" s="158"/>
      <c r="CK12" s="284">
        <v>125</v>
      </c>
      <c r="CL12" s="285">
        <f t="shared" si="23"/>
        <v>2.3972602739726026</v>
      </c>
      <c r="CM12" s="285">
        <f t="shared" si="24"/>
        <v>2.910958904109589</v>
      </c>
      <c r="CN12" s="286">
        <v>2.5</v>
      </c>
      <c r="CO12" s="285">
        <f t="shared" si="25"/>
        <v>27</v>
      </c>
      <c r="CP12" s="288">
        <v>25</v>
      </c>
      <c r="CQ12" s="193"/>
      <c r="CR12" s="284">
        <v>125</v>
      </c>
      <c r="CS12" s="285">
        <f t="shared" si="26"/>
        <v>2.1875</v>
      </c>
      <c r="CT12" s="285">
        <f t="shared" si="27"/>
        <v>2.65625</v>
      </c>
      <c r="CU12" s="286">
        <v>2.5</v>
      </c>
      <c r="CV12" s="285">
        <f t="shared" si="28"/>
        <v>20</v>
      </c>
      <c r="CW12" s="287">
        <v>20</v>
      </c>
      <c r="CX12" s="158"/>
    </row>
    <row r="13" spans="1:102" ht="17.25" customHeight="1" thickBot="1">
      <c r="A13" s="324">
        <v>9</v>
      </c>
      <c r="B13" s="325" t="s">
        <v>237</v>
      </c>
      <c r="C13" s="326" t="s">
        <v>11</v>
      </c>
      <c r="D13" s="155">
        <v>36.955507</v>
      </c>
      <c r="E13" s="327" t="s">
        <v>12</v>
      </c>
      <c r="F13" s="196"/>
      <c r="G13" s="316">
        <v>32</v>
      </c>
      <c r="H13" s="317" t="s">
        <v>136</v>
      </c>
      <c r="I13" s="328" t="s">
        <v>161</v>
      </c>
      <c r="J13" s="319">
        <f>(5400*(D37+2*D38)/D21)*(((D21+D37+2*D38)/((D37+2*D38)*D32))^3*J9*J8*D13)^0.5</f>
        <v>259.52150490373623</v>
      </c>
      <c r="K13" s="320" t="s">
        <v>22</v>
      </c>
      <c r="L13" s="329"/>
      <c r="M13" s="158"/>
      <c r="N13" s="158"/>
      <c r="O13" s="293">
        <v>16</v>
      </c>
      <c r="P13" s="294">
        <v>16</v>
      </c>
      <c r="Q13" s="269" t="s">
        <v>177</v>
      </c>
      <c r="R13" s="270">
        <v>490</v>
      </c>
      <c r="S13" s="271">
        <v>235</v>
      </c>
      <c r="T13" s="267">
        <v>7</v>
      </c>
      <c r="U13" s="272">
        <v>0.83</v>
      </c>
      <c r="V13" s="273">
        <f t="shared" si="0"/>
        <v>0.8319</v>
      </c>
      <c r="W13" s="295">
        <v>71.5</v>
      </c>
      <c r="X13" s="294">
        <v>80</v>
      </c>
      <c r="Y13" s="276">
        <v>3.15</v>
      </c>
      <c r="Z13" s="296">
        <v>14.41</v>
      </c>
      <c r="AA13" s="278">
        <v>16</v>
      </c>
      <c r="AB13" s="279">
        <v>38</v>
      </c>
      <c r="AC13" s="280">
        <f>AC12-0.02</f>
        <v>1.59</v>
      </c>
      <c r="AD13" s="281">
        <v>0.04</v>
      </c>
      <c r="AE13" s="282">
        <f t="shared" si="1"/>
        <v>6.266666666666668</v>
      </c>
      <c r="AF13" s="158"/>
      <c r="AG13" s="158"/>
      <c r="AH13" s="158"/>
      <c r="AI13" s="158"/>
      <c r="AJ13" s="158"/>
      <c r="AK13" s="158"/>
      <c r="AL13" s="158"/>
      <c r="AM13" s="158"/>
      <c r="AN13" s="284">
        <v>140</v>
      </c>
      <c r="AO13" s="285">
        <f t="shared" si="2"/>
        <v>6.125</v>
      </c>
      <c r="AP13" s="285">
        <f t="shared" si="3"/>
        <v>7.4375</v>
      </c>
      <c r="AQ13" s="286">
        <v>6.3</v>
      </c>
      <c r="AR13" s="285">
        <f t="shared" si="4"/>
        <v>12.444444444444443</v>
      </c>
      <c r="AS13" s="287">
        <v>12.5</v>
      </c>
      <c r="AT13" s="158"/>
      <c r="AU13" s="284">
        <v>140</v>
      </c>
      <c r="AV13" s="285">
        <f t="shared" si="5"/>
        <v>5.444444444444445</v>
      </c>
      <c r="AW13" s="285">
        <f t="shared" si="6"/>
        <v>6.611111111111111</v>
      </c>
      <c r="AX13" s="286">
        <v>6.3</v>
      </c>
      <c r="AY13" s="285">
        <f t="shared" si="7"/>
        <v>8.444444444444443</v>
      </c>
      <c r="AZ13" s="287">
        <v>8</v>
      </c>
      <c r="BA13" s="193"/>
      <c r="BB13" s="284">
        <v>140</v>
      </c>
      <c r="BC13" s="285">
        <f t="shared" si="8"/>
        <v>4.9</v>
      </c>
      <c r="BD13" s="285">
        <f t="shared" si="9"/>
        <v>5.95</v>
      </c>
      <c r="BE13" s="286">
        <v>5</v>
      </c>
      <c r="BF13" s="285">
        <f t="shared" si="10"/>
        <v>16</v>
      </c>
      <c r="BG13" s="287">
        <v>16</v>
      </c>
      <c r="BH13" s="158"/>
      <c r="BI13" s="284">
        <v>140</v>
      </c>
      <c r="BJ13" s="285">
        <f t="shared" si="11"/>
        <v>4.260869565217392</v>
      </c>
      <c r="BK13" s="285">
        <f t="shared" si="12"/>
        <v>5.173913043478261</v>
      </c>
      <c r="BL13" s="286">
        <v>5</v>
      </c>
      <c r="BM13" s="285">
        <f t="shared" si="13"/>
        <v>10</v>
      </c>
      <c r="BN13" s="287">
        <v>10</v>
      </c>
      <c r="BO13" s="193"/>
      <c r="BP13" s="284">
        <v>140</v>
      </c>
      <c r="BQ13" s="285">
        <f t="shared" si="14"/>
        <v>3.92</v>
      </c>
      <c r="BR13" s="285">
        <f t="shared" si="15"/>
        <v>4.76</v>
      </c>
      <c r="BS13" s="286">
        <v>4</v>
      </c>
      <c r="BT13" s="285">
        <f t="shared" si="16"/>
        <v>20</v>
      </c>
      <c r="BU13" s="287">
        <v>20</v>
      </c>
      <c r="BV13" s="158"/>
      <c r="BW13" s="284">
        <v>140</v>
      </c>
      <c r="BX13" s="285">
        <f t="shared" si="17"/>
        <v>3.3793103448275863</v>
      </c>
      <c r="BY13" s="285">
        <f t="shared" si="18"/>
        <v>4.103448275862069</v>
      </c>
      <c r="BZ13" s="286">
        <v>4</v>
      </c>
      <c r="CA13" s="285">
        <f t="shared" si="19"/>
        <v>12</v>
      </c>
      <c r="CB13" s="287">
        <v>12.5</v>
      </c>
      <c r="CC13" s="158"/>
      <c r="CD13" s="284">
        <v>140</v>
      </c>
      <c r="CE13" s="285">
        <f t="shared" si="20"/>
        <v>3.111111111111111</v>
      </c>
      <c r="CF13" s="285">
        <f t="shared" si="21"/>
        <v>3.7777777777777777</v>
      </c>
      <c r="CG13" s="286">
        <v>3.15</v>
      </c>
      <c r="CH13" s="285">
        <f t="shared" si="22"/>
        <v>25.888888888888886</v>
      </c>
      <c r="CI13" s="288">
        <v>25</v>
      </c>
      <c r="CJ13" s="158"/>
      <c r="CK13" s="284">
        <v>140</v>
      </c>
      <c r="CL13" s="285">
        <f t="shared" si="23"/>
        <v>2.684931506849315</v>
      </c>
      <c r="CM13" s="285">
        <f t="shared" si="24"/>
        <v>3.26027397260274</v>
      </c>
      <c r="CN13" s="286">
        <v>3.15</v>
      </c>
      <c r="CO13" s="285">
        <f t="shared" si="25"/>
        <v>15.888888888888886</v>
      </c>
      <c r="CP13" s="287">
        <v>16</v>
      </c>
      <c r="CQ13" s="193"/>
      <c r="CR13" s="297">
        <v>140</v>
      </c>
      <c r="CS13" s="298">
        <f t="shared" si="26"/>
        <v>2.45</v>
      </c>
      <c r="CT13" s="298">
        <f t="shared" si="27"/>
        <v>2.975</v>
      </c>
      <c r="CU13" s="298">
        <v>2.5</v>
      </c>
      <c r="CV13" s="298">
        <f t="shared" si="28"/>
        <v>32</v>
      </c>
      <c r="CW13" s="299">
        <v>25</v>
      </c>
      <c r="CX13" s="158"/>
    </row>
    <row r="14" spans="1:102" ht="17.25" customHeight="1" thickBot="1">
      <c r="A14" s="158"/>
      <c r="B14" s="158"/>
      <c r="C14" s="158"/>
      <c r="D14" s="158"/>
      <c r="E14" s="158"/>
      <c r="F14" s="159"/>
      <c r="G14" s="210">
        <v>33</v>
      </c>
      <c r="H14" s="330" t="s">
        <v>210</v>
      </c>
      <c r="I14" s="331" t="s">
        <v>229</v>
      </c>
      <c r="J14" s="332">
        <f>(J13-J12)/J12*100</f>
        <v>-1.0522877565564258E-07</v>
      </c>
      <c r="K14" s="214" t="s">
        <v>137</v>
      </c>
      <c r="L14" s="182"/>
      <c r="M14" s="158"/>
      <c r="N14" s="158"/>
      <c r="O14" s="267">
        <v>18</v>
      </c>
      <c r="P14" s="268">
        <v>18</v>
      </c>
      <c r="Q14" s="310" t="s">
        <v>178</v>
      </c>
      <c r="R14" s="259">
        <v>590</v>
      </c>
      <c r="S14" s="311">
        <v>275</v>
      </c>
      <c r="T14" s="333">
        <v>8</v>
      </c>
      <c r="U14" s="334">
        <v>0.8</v>
      </c>
      <c r="V14" s="335">
        <f t="shared" si="0"/>
        <v>0.796</v>
      </c>
      <c r="W14" s="293">
        <v>80</v>
      </c>
      <c r="X14" s="294">
        <v>80</v>
      </c>
      <c r="Y14" s="276">
        <v>4</v>
      </c>
      <c r="Z14" s="277">
        <v>16</v>
      </c>
      <c r="AA14" s="278">
        <v>16</v>
      </c>
      <c r="AB14" s="279">
        <v>39</v>
      </c>
      <c r="AC14" s="280">
        <f>AC13-0.02</f>
        <v>1.57</v>
      </c>
      <c r="AD14" s="281">
        <v>0.045</v>
      </c>
      <c r="AE14" s="282">
        <f t="shared" si="1"/>
        <v>6.17777777777778</v>
      </c>
      <c r="AF14" s="158"/>
      <c r="AG14" s="158"/>
      <c r="AH14" s="158"/>
      <c r="AI14" s="158"/>
      <c r="AJ14" s="158"/>
      <c r="AK14" s="158"/>
      <c r="AL14" s="158"/>
      <c r="AM14" s="158"/>
      <c r="AN14" s="284">
        <v>160</v>
      </c>
      <c r="AO14" s="285">
        <f t="shared" si="2"/>
        <v>7</v>
      </c>
      <c r="AP14" s="285">
        <f t="shared" si="3"/>
        <v>8.5</v>
      </c>
      <c r="AQ14" s="286">
        <v>8</v>
      </c>
      <c r="AR14" s="285">
        <f t="shared" si="4"/>
        <v>8</v>
      </c>
      <c r="AS14" s="287">
        <v>8</v>
      </c>
      <c r="AT14" s="158"/>
      <c r="AU14" s="284">
        <v>160</v>
      </c>
      <c r="AV14" s="285">
        <f t="shared" si="5"/>
        <v>6.222222222222222</v>
      </c>
      <c r="AW14" s="285">
        <f t="shared" si="6"/>
        <v>7.555555555555555</v>
      </c>
      <c r="AX14" s="286">
        <v>6.3</v>
      </c>
      <c r="AY14" s="285">
        <f t="shared" si="7"/>
        <v>14.793650793650798</v>
      </c>
      <c r="AZ14" s="288">
        <v>16</v>
      </c>
      <c r="BA14" s="193">
        <v>14</v>
      </c>
      <c r="BB14" s="284">
        <v>160</v>
      </c>
      <c r="BC14" s="285">
        <f t="shared" si="8"/>
        <v>5.6</v>
      </c>
      <c r="BD14" s="285">
        <f t="shared" si="9"/>
        <v>6.8</v>
      </c>
      <c r="BE14" s="286">
        <v>6.3</v>
      </c>
      <c r="BF14" s="285">
        <f t="shared" si="10"/>
        <v>10.793650793650798</v>
      </c>
      <c r="BG14" s="287">
        <v>10</v>
      </c>
      <c r="BH14" s="158"/>
      <c r="BI14" s="284">
        <v>160</v>
      </c>
      <c r="BJ14" s="285">
        <f t="shared" si="11"/>
        <v>4.869565217391305</v>
      </c>
      <c r="BK14" s="285">
        <f t="shared" si="12"/>
        <v>5.913043478260869</v>
      </c>
      <c r="BL14" s="286">
        <v>5</v>
      </c>
      <c r="BM14" s="285">
        <f t="shared" si="13"/>
        <v>18</v>
      </c>
      <c r="BN14" s="287">
        <v>16</v>
      </c>
      <c r="BO14" s="193"/>
      <c r="BP14" s="284">
        <v>160</v>
      </c>
      <c r="BQ14" s="285">
        <f t="shared" si="14"/>
        <v>4.48</v>
      </c>
      <c r="BR14" s="285">
        <f t="shared" si="15"/>
        <v>5.44</v>
      </c>
      <c r="BS14" s="286">
        <v>5</v>
      </c>
      <c r="BT14" s="285">
        <f t="shared" si="16"/>
        <v>14</v>
      </c>
      <c r="BU14" s="287">
        <v>12.5</v>
      </c>
      <c r="BV14" s="158"/>
      <c r="BW14" s="284">
        <v>160</v>
      </c>
      <c r="BX14" s="285">
        <f t="shared" si="17"/>
        <v>3.8620689655172415</v>
      </c>
      <c r="BY14" s="285">
        <f t="shared" si="18"/>
        <v>4.689655172413793</v>
      </c>
      <c r="BZ14" s="286">
        <v>4</v>
      </c>
      <c r="CA14" s="285">
        <f t="shared" si="19"/>
        <v>22</v>
      </c>
      <c r="CB14" s="287">
        <v>20</v>
      </c>
      <c r="CC14" s="158"/>
      <c r="CD14" s="284">
        <v>160</v>
      </c>
      <c r="CE14" s="285">
        <f t="shared" si="20"/>
        <v>3.5555555555555554</v>
      </c>
      <c r="CF14" s="285">
        <f t="shared" si="21"/>
        <v>4.317460317460317</v>
      </c>
      <c r="CG14" s="286">
        <v>4</v>
      </c>
      <c r="CH14" s="285">
        <f t="shared" si="22"/>
        <v>17</v>
      </c>
      <c r="CI14" s="287">
        <v>16</v>
      </c>
      <c r="CJ14" s="158"/>
      <c r="CK14" s="297">
        <v>160</v>
      </c>
      <c r="CL14" s="298">
        <f t="shared" si="23"/>
        <v>3.0684931506849313</v>
      </c>
      <c r="CM14" s="298">
        <f t="shared" si="24"/>
        <v>3.7260273972602738</v>
      </c>
      <c r="CN14" s="298">
        <v>3.15</v>
      </c>
      <c r="CO14" s="298">
        <f t="shared" si="25"/>
        <v>28.587301587301596</v>
      </c>
      <c r="CP14" s="299">
        <v>25</v>
      </c>
      <c r="CQ14" s="193"/>
      <c r="CR14" s="284">
        <v>160</v>
      </c>
      <c r="CS14" s="285">
        <f t="shared" si="26"/>
        <v>2.8</v>
      </c>
      <c r="CT14" s="285">
        <f t="shared" si="27"/>
        <v>3.4</v>
      </c>
      <c r="CU14" s="286">
        <v>3.15</v>
      </c>
      <c r="CV14" s="285">
        <f t="shared" si="28"/>
        <v>21.587301587301596</v>
      </c>
      <c r="CW14" s="287">
        <v>20</v>
      </c>
      <c r="CX14" s="158"/>
    </row>
    <row r="15" spans="1:102" ht="17.25" customHeight="1" thickBot="1">
      <c r="A15" s="158"/>
      <c r="B15" s="158"/>
      <c r="C15" s="158"/>
      <c r="D15" s="158"/>
      <c r="E15" s="158"/>
      <c r="F15" s="159"/>
      <c r="G15" s="336">
        <v>34</v>
      </c>
      <c r="H15" s="230" t="s">
        <v>144</v>
      </c>
      <c r="I15" s="337" t="s">
        <v>145</v>
      </c>
      <c r="J15" s="338">
        <f>D21/(COS(J4/180*PI()))^3</f>
        <v>35.04639781775011</v>
      </c>
      <c r="K15" s="186"/>
      <c r="L15" s="182"/>
      <c r="M15" s="158"/>
      <c r="N15" s="158"/>
      <c r="O15" s="293">
        <v>20</v>
      </c>
      <c r="P15" s="294">
        <v>20</v>
      </c>
      <c r="Q15" s="321" t="s">
        <v>179</v>
      </c>
      <c r="R15" s="322">
        <v>100</v>
      </c>
      <c r="S15" s="339" t="s">
        <v>23</v>
      </c>
      <c r="T15" s="340"/>
      <c r="U15" s="158"/>
      <c r="V15" s="158"/>
      <c r="W15" s="295">
        <v>90</v>
      </c>
      <c r="X15" s="294">
        <v>100</v>
      </c>
      <c r="Y15" s="276">
        <v>5</v>
      </c>
      <c r="Z15" s="296">
        <v>19.01</v>
      </c>
      <c r="AA15" s="278">
        <v>20</v>
      </c>
      <c r="AB15" s="304">
        <v>40</v>
      </c>
      <c r="AC15" s="305">
        <v>1.55</v>
      </c>
      <c r="AD15" s="281">
        <v>0.05</v>
      </c>
      <c r="AE15" s="282">
        <f t="shared" si="1"/>
        <v>6.088888888888891</v>
      </c>
      <c r="AF15" s="158"/>
      <c r="AG15" s="158"/>
      <c r="AH15" s="158"/>
      <c r="AI15" s="158"/>
      <c r="AJ15" s="158"/>
      <c r="AK15" s="158"/>
      <c r="AL15" s="158"/>
      <c r="AM15" s="158"/>
      <c r="AN15" s="284">
        <v>180</v>
      </c>
      <c r="AO15" s="285">
        <f t="shared" si="2"/>
        <v>7.874999999999999</v>
      </c>
      <c r="AP15" s="285">
        <f t="shared" si="3"/>
        <v>9.5625</v>
      </c>
      <c r="AQ15" s="286">
        <v>8</v>
      </c>
      <c r="AR15" s="285">
        <f t="shared" si="4"/>
        <v>13</v>
      </c>
      <c r="AS15" s="287">
        <v>12.5</v>
      </c>
      <c r="AT15" s="158"/>
      <c r="AU15" s="284">
        <v>180</v>
      </c>
      <c r="AV15" s="285">
        <f t="shared" si="5"/>
        <v>6.999999999999999</v>
      </c>
      <c r="AW15" s="285">
        <f t="shared" si="6"/>
        <v>8.5</v>
      </c>
      <c r="AX15" s="286">
        <v>8</v>
      </c>
      <c r="AY15" s="285">
        <f t="shared" si="7"/>
        <v>9</v>
      </c>
      <c r="AZ15" s="287">
        <v>8</v>
      </c>
      <c r="BA15" s="193"/>
      <c r="BB15" s="284">
        <v>180</v>
      </c>
      <c r="BC15" s="285">
        <f t="shared" si="8"/>
        <v>6.299999999999999</v>
      </c>
      <c r="BD15" s="285">
        <f t="shared" si="9"/>
        <v>7.65</v>
      </c>
      <c r="BE15" s="286">
        <v>6.3</v>
      </c>
      <c r="BF15" s="285">
        <f t="shared" si="10"/>
        <v>17.142857142857146</v>
      </c>
      <c r="BG15" s="287">
        <v>16</v>
      </c>
      <c r="BH15" s="158"/>
      <c r="BI15" s="284">
        <v>180</v>
      </c>
      <c r="BJ15" s="285">
        <f t="shared" si="11"/>
        <v>5.478260869565217</v>
      </c>
      <c r="BK15" s="285">
        <f t="shared" si="12"/>
        <v>6.6521739130434785</v>
      </c>
      <c r="BL15" s="286">
        <v>6.3</v>
      </c>
      <c r="BM15" s="285">
        <f t="shared" si="13"/>
        <v>11.142857142857146</v>
      </c>
      <c r="BN15" s="287">
        <v>10</v>
      </c>
      <c r="BO15" s="193"/>
      <c r="BP15" s="284">
        <v>180</v>
      </c>
      <c r="BQ15" s="285">
        <f t="shared" si="14"/>
        <v>5.039999999999999</v>
      </c>
      <c r="BR15" s="285">
        <f t="shared" si="15"/>
        <v>6.12</v>
      </c>
      <c r="BS15" s="286">
        <v>5</v>
      </c>
      <c r="BT15" s="285">
        <f t="shared" si="16"/>
        <v>22</v>
      </c>
      <c r="BU15" s="287">
        <v>20</v>
      </c>
      <c r="BV15" s="158"/>
      <c r="BW15" s="284">
        <v>180</v>
      </c>
      <c r="BX15" s="285">
        <f t="shared" si="17"/>
        <v>4.344827586206896</v>
      </c>
      <c r="BY15" s="285">
        <f t="shared" si="18"/>
        <v>5.275862068965517</v>
      </c>
      <c r="BZ15" s="286">
        <v>5</v>
      </c>
      <c r="CA15" s="285">
        <f t="shared" si="19"/>
        <v>14</v>
      </c>
      <c r="CB15" s="287">
        <v>12.5</v>
      </c>
      <c r="CC15" s="158"/>
      <c r="CD15" s="284">
        <v>180</v>
      </c>
      <c r="CE15" s="285">
        <f t="shared" si="20"/>
        <v>3.9999999999999996</v>
      </c>
      <c r="CF15" s="285">
        <f t="shared" si="21"/>
        <v>4.857142857142857</v>
      </c>
      <c r="CG15" s="286">
        <v>4</v>
      </c>
      <c r="CH15" s="285">
        <f t="shared" si="22"/>
        <v>27</v>
      </c>
      <c r="CI15" s="288">
        <v>25</v>
      </c>
      <c r="CJ15" s="160"/>
      <c r="CK15" s="284">
        <v>180</v>
      </c>
      <c r="CL15" s="285">
        <f t="shared" si="23"/>
        <v>3.4520547945205475</v>
      </c>
      <c r="CM15" s="285">
        <f t="shared" si="24"/>
        <v>4.191780821917808</v>
      </c>
      <c r="CN15" s="286">
        <v>4</v>
      </c>
      <c r="CO15" s="285">
        <f t="shared" si="25"/>
        <v>17</v>
      </c>
      <c r="CP15" s="287">
        <v>16</v>
      </c>
      <c r="CQ15" s="193"/>
      <c r="CR15" s="297">
        <v>180</v>
      </c>
      <c r="CS15" s="298">
        <f t="shared" si="26"/>
        <v>3.1499999999999995</v>
      </c>
      <c r="CT15" s="298">
        <f t="shared" si="27"/>
        <v>3.825</v>
      </c>
      <c r="CU15" s="298">
        <v>3.15</v>
      </c>
      <c r="CV15" s="298">
        <f t="shared" si="28"/>
        <v>34.28571428571429</v>
      </c>
      <c r="CW15" s="299">
        <v>25</v>
      </c>
      <c r="CX15" s="158"/>
    </row>
    <row r="16" spans="1:102" ht="17.25" customHeight="1">
      <c r="A16" s="558" t="s">
        <v>186</v>
      </c>
      <c r="B16" s="559"/>
      <c r="C16" s="559"/>
      <c r="D16" s="559"/>
      <c r="E16" s="560"/>
      <c r="F16" s="160"/>
      <c r="G16" s="341">
        <v>35</v>
      </c>
      <c r="H16" s="292" t="s">
        <v>146</v>
      </c>
      <c r="I16" s="226" t="s">
        <v>147</v>
      </c>
      <c r="J16" s="342">
        <f>LOOKUP(J15,AB7:AB55,AC7:AC55)</f>
        <v>1.64</v>
      </c>
      <c r="K16" s="264"/>
      <c r="L16" s="182"/>
      <c r="M16" s="158"/>
      <c r="N16" s="158"/>
      <c r="O16" s="267">
        <v>22.4</v>
      </c>
      <c r="P16" s="343">
        <v>23</v>
      </c>
      <c r="Q16" s="269" t="s">
        <v>180</v>
      </c>
      <c r="R16" s="270">
        <v>150</v>
      </c>
      <c r="S16" s="344" t="s">
        <v>23</v>
      </c>
      <c r="T16" s="158"/>
      <c r="U16" s="158"/>
      <c r="V16" s="158"/>
      <c r="W16" s="293">
        <v>100</v>
      </c>
      <c r="X16" s="294">
        <v>100</v>
      </c>
      <c r="Y16" s="276">
        <v>6.3</v>
      </c>
      <c r="Z16" s="277">
        <v>20</v>
      </c>
      <c r="AA16" s="278">
        <v>20</v>
      </c>
      <c r="AB16" s="279">
        <v>41</v>
      </c>
      <c r="AC16" s="280">
        <f>AC15-0.07/5</f>
        <v>1.536</v>
      </c>
      <c r="AD16" s="281">
        <v>0.055</v>
      </c>
      <c r="AE16" s="282">
        <f t="shared" si="1"/>
        <v>6.000000000000003</v>
      </c>
      <c r="AF16" s="158"/>
      <c r="AG16" s="158"/>
      <c r="AH16" s="158"/>
      <c r="AI16" s="158"/>
      <c r="AJ16" s="158"/>
      <c r="AK16" s="158"/>
      <c r="AL16" s="158"/>
      <c r="AM16" s="158"/>
      <c r="AN16" s="284">
        <v>200</v>
      </c>
      <c r="AO16" s="285">
        <f t="shared" si="2"/>
        <v>8.75</v>
      </c>
      <c r="AP16" s="285">
        <f t="shared" si="3"/>
        <v>10.625</v>
      </c>
      <c r="AQ16" s="286">
        <v>10</v>
      </c>
      <c r="AR16" s="285">
        <f t="shared" si="4"/>
        <v>8</v>
      </c>
      <c r="AS16" s="287">
        <v>8</v>
      </c>
      <c r="AT16" s="158"/>
      <c r="AU16" s="284">
        <v>200</v>
      </c>
      <c r="AV16" s="285">
        <f t="shared" si="5"/>
        <v>7.777777777777778</v>
      </c>
      <c r="AW16" s="285">
        <f t="shared" si="6"/>
        <v>9.444444444444445</v>
      </c>
      <c r="AX16" s="286">
        <v>8</v>
      </c>
      <c r="AY16" s="285">
        <f t="shared" si="7"/>
        <v>14</v>
      </c>
      <c r="AZ16" s="287">
        <v>12.5</v>
      </c>
      <c r="BA16" s="193"/>
      <c r="BB16" s="284">
        <v>200</v>
      </c>
      <c r="BC16" s="285">
        <f t="shared" si="8"/>
        <v>7</v>
      </c>
      <c r="BD16" s="285">
        <f t="shared" si="9"/>
        <v>8.5</v>
      </c>
      <c r="BE16" s="286">
        <v>8</v>
      </c>
      <c r="BF16" s="285">
        <f t="shared" si="10"/>
        <v>10</v>
      </c>
      <c r="BG16" s="287">
        <v>10</v>
      </c>
      <c r="BH16" s="158"/>
      <c r="BI16" s="284">
        <v>200</v>
      </c>
      <c r="BJ16" s="285">
        <f t="shared" si="11"/>
        <v>6.086956521739131</v>
      </c>
      <c r="BK16" s="285">
        <f t="shared" si="12"/>
        <v>7.391304347826087</v>
      </c>
      <c r="BL16" s="286">
        <v>6.3</v>
      </c>
      <c r="BM16" s="285">
        <f t="shared" si="13"/>
        <v>17.492063492063494</v>
      </c>
      <c r="BN16" s="287">
        <v>16</v>
      </c>
      <c r="BO16" s="193"/>
      <c r="BP16" s="284">
        <v>200</v>
      </c>
      <c r="BQ16" s="285">
        <f t="shared" si="14"/>
        <v>5.6</v>
      </c>
      <c r="BR16" s="285">
        <f t="shared" si="15"/>
        <v>6.8</v>
      </c>
      <c r="BS16" s="286">
        <v>6.3</v>
      </c>
      <c r="BT16" s="285">
        <f t="shared" si="16"/>
        <v>13.492063492063494</v>
      </c>
      <c r="BU16" s="287">
        <v>12.5</v>
      </c>
      <c r="BV16" s="158"/>
      <c r="BW16" s="284">
        <v>200</v>
      </c>
      <c r="BX16" s="285">
        <f t="shared" si="17"/>
        <v>4.827586206896552</v>
      </c>
      <c r="BY16" s="285">
        <f t="shared" si="18"/>
        <v>5.862068965517241</v>
      </c>
      <c r="BZ16" s="286">
        <v>5</v>
      </c>
      <c r="CA16" s="285">
        <f t="shared" si="19"/>
        <v>22</v>
      </c>
      <c r="CB16" s="287">
        <v>20</v>
      </c>
      <c r="CC16" s="158"/>
      <c r="CD16" s="284">
        <v>200</v>
      </c>
      <c r="CE16" s="285">
        <f t="shared" si="20"/>
        <v>4.444444444444445</v>
      </c>
      <c r="CF16" s="285">
        <f t="shared" si="21"/>
        <v>5.396825396825397</v>
      </c>
      <c r="CG16" s="286">
        <v>5</v>
      </c>
      <c r="CH16" s="285">
        <f t="shared" si="22"/>
        <v>17</v>
      </c>
      <c r="CI16" s="287">
        <v>16</v>
      </c>
      <c r="CJ16" s="160"/>
      <c r="CK16" s="284">
        <v>200</v>
      </c>
      <c r="CL16" s="285">
        <f t="shared" si="23"/>
        <v>3.835616438356164</v>
      </c>
      <c r="CM16" s="285">
        <f t="shared" si="24"/>
        <v>4.657534246575342</v>
      </c>
      <c r="CN16" s="286">
        <v>4</v>
      </c>
      <c r="CO16" s="285">
        <f t="shared" si="25"/>
        <v>27</v>
      </c>
      <c r="CP16" s="288">
        <v>25</v>
      </c>
      <c r="CQ16" s="193"/>
      <c r="CR16" s="284">
        <v>200</v>
      </c>
      <c r="CS16" s="285">
        <f t="shared" si="26"/>
        <v>3.5</v>
      </c>
      <c r="CT16" s="285">
        <f t="shared" si="27"/>
        <v>4.25</v>
      </c>
      <c r="CU16" s="286">
        <v>4</v>
      </c>
      <c r="CV16" s="285">
        <f t="shared" si="28"/>
        <v>20</v>
      </c>
      <c r="CW16" s="287">
        <v>20</v>
      </c>
      <c r="CX16" s="158"/>
    </row>
    <row r="17" spans="1:102" ht="17.25" customHeight="1" thickBot="1">
      <c r="A17" s="345"/>
      <c r="B17" s="346"/>
      <c r="C17" s="346"/>
      <c r="D17" s="346"/>
      <c r="E17" s="347"/>
      <c r="F17" s="160"/>
      <c r="G17" s="316">
        <v>36</v>
      </c>
      <c r="H17" s="348" t="s">
        <v>149</v>
      </c>
      <c r="I17" s="318" t="s">
        <v>263</v>
      </c>
      <c r="J17" s="319">
        <f>IF(OR(Q5=1,Q5=2,Q5=3,Q5=4,Q5=5,Q5=6,Q5=7,Q5=8),D22*(0.25*D29+0.08*D28)*D27,D22*0.1*D28)</f>
        <v>51.092883046621104</v>
      </c>
      <c r="K17" s="320" t="s">
        <v>22</v>
      </c>
      <c r="L17" s="182"/>
      <c r="M17" s="158"/>
      <c r="N17" s="158"/>
      <c r="O17" s="293">
        <v>25</v>
      </c>
      <c r="P17" s="278">
        <v>25</v>
      </c>
      <c r="Q17" s="269" t="s">
        <v>181</v>
      </c>
      <c r="R17" s="270">
        <v>180</v>
      </c>
      <c r="S17" s="344" t="s">
        <v>23</v>
      </c>
      <c r="T17" s="158"/>
      <c r="U17" s="158"/>
      <c r="V17" s="158"/>
      <c r="W17" s="295">
        <v>112.5</v>
      </c>
      <c r="X17" s="294">
        <v>125</v>
      </c>
      <c r="Y17" s="276">
        <v>8</v>
      </c>
      <c r="Z17" s="277">
        <v>22.5</v>
      </c>
      <c r="AA17" s="278">
        <v>25</v>
      </c>
      <c r="AB17" s="279">
        <v>42</v>
      </c>
      <c r="AC17" s="280">
        <f>AC16-0.07/5</f>
        <v>1.522</v>
      </c>
      <c r="AD17" s="281">
        <v>0.06</v>
      </c>
      <c r="AE17" s="282">
        <f t="shared" si="1"/>
        <v>5.911111111111114</v>
      </c>
      <c r="AF17" s="158"/>
      <c r="AG17" s="158"/>
      <c r="AH17" s="158"/>
      <c r="AI17" s="158"/>
      <c r="AJ17" s="158"/>
      <c r="AK17" s="158"/>
      <c r="AL17" s="158"/>
      <c r="AM17" s="158"/>
      <c r="AN17" s="284">
        <v>225</v>
      </c>
      <c r="AO17" s="285">
        <f t="shared" si="2"/>
        <v>9.84375</v>
      </c>
      <c r="AP17" s="285">
        <f t="shared" si="3"/>
        <v>11.953125</v>
      </c>
      <c r="AQ17" s="286">
        <v>10</v>
      </c>
      <c r="AR17" s="285">
        <f t="shared" si="4"/>
        <v>13</v>
      </c>
      <c r="AS17" s="287">
        <v>12.5</v>
      </c>
      <c r="AT17" s="158"/>
      <c r="AU17" s="284">
        <v>225</v>
      </c>
      <c r="AV17" s="285">
        <f t="shared" si="5"/>
        <v>8.75</v>
      </c>
      <c r="AW17" s="285">
        <f t="shared" si="6"/>
        <v>10.625</v>
      </c>
      <c r="AX17" s="286">
        <v>10</v>
      </c>
      <c r="AY17" s="285">
        <f t="shared" si="7"/>
        <v>9</v>
      </c>
      <c r="AZ17" s="287">
        <v>8</v>
      </c>
      <c r="BA17" s="193"/>
      <c r="BB17" s="284">
        <v>225</v>
      </c>
      <c r="BC17" s="285">
        <f t="shared" si="8"/>
        <v>7.875</v>
      </c>
      <c r="BD17" s="285">
        <f t="shared" si="9"/>
        <v>9.5625</v>
      </c>
      <c r="BE17" s="286">
        <v>8</v>
      </c>
      <c r="BF17" s="285">
        <f t="shared" si="10"/>
        <v>16.25</v>
      </c>
      <c r="BG17" s="287">
        <v>16</v>
      </c>
      <c r="BH17" s="158"/>
      <c r="BI17" s="284">
        <v>225</v>
      </c>
      <c r="BJ17" s="285">
        <f t="shared" si="11"/>
        <v>6.8478260869565215</v>
      </c>
      <c r="BK17" s="285">
        <f t="shared" si="12"/>
        <v>8.315217391304348</v>
      </c>
      <c r="BL17" s="286">
        <v>8</v>
      </c>
      <c r="BM17" s="285">
        <f t="shared" si="13"/>
        <v>10.25</v>
      </c>
      <c r="BN17" s="287">
        <v>10</v>
      </c>
      <c r="BO17" s="193"/>
      <c r="BP17" s="284">
        <v>225</v>
      </c>
      <c r="BQ17" s="285">
        <f t="shared" si="14"/>
        <v>6.3</v>
      </c>
      <c r="BR17" s="285">
        <f t="shared" si="15"/>
        <v>7.65</v>
      </c>
      <c r="BS17" s="286">
        <v>6.3</v>
      </c>
      <c r="BT17" s="285">
        <f t="shared" si="16"/>
        <v>21.42857142857143</v>
      </c>
      <c r="BU17" s="287">
        <v>20</v>
      </c>
      <c r="BV17" s="158"/>
      <c r="BW17" s="284">
        <v>225</v>
      </c>
      <c r="BX17" s="285">
        <f t="shared" si="17"/>
        <v>5.431034482758621</v>
      </c>
      <c r="BY17" s="285">
        <f t="shared" si="18"/>
        <v>6.594827586206897</v>
      </c>
      <c r="BZ17" s="286">
        <v>6.3</v>
      </c>
      <c r="CA17" s="285">
        <f t="shared" si="19"/>
        <v>13.42857142857143</v>
      </c>
      <c r="CB17" s="287">
        <v>12.5</v>
      </c>
      <c r="CC17" s="158"/>
      <c r="CD17" s="284">
        <v>225</v>
      </c>
      <c r="CE17" s="285">
        <f t="shared" si="20"/>
        <v>5</v>
      </c>
      <c r="CF17" s="285">
        <f t="shared" si="21"/>
        <v>6.071428571428571</v>
      </c>
      <c r="CG17" s="286">
        <v>5</v>
      </c>
      <c r="CH17" s="285">
        <f t="shared" si="22"/>
        <v>27</v>
      </c>
      <c r="CI17" s="288">
        <v>25</v>
      </c>
      <c r="CJ17" s="160"/>
      <c r="CK17" s="284">
        <v>225</v>
      </c>
      <c r="CL17" s="285">
        <f t="shared" si="23"/>
        <v>4.315068493150685</v>
      </c>
      <c r="CM17" s="285">
        <f t="shared" si="24"/>
        <v>5.239726027397261</v>
      </c>
      <c r="CN17" s="286">
        <v>5</v>
      </c>
      <c r="CO17" s="285">
        <f t="shared" si="25"/>
        <v>17</v>
      </c>
      <c r="CP17" s="287">
        <v>16</v>
      </c>
      <c r="CQ17" s="193"/>
      <c r="CR17" s="297">
        <v>225</v>
      </c>
      <c r="CS17" s="298">
        <f t="shared" si="26"/>
        <v>3.9375</v>
      </c>
      <c r="CT17" s="298">
        <f t="shared" si="27"/>
        <v>4.78125</v>
      </c>
      <c r="CU17" s="298">
        <v>4</v>
      </c>
      <c r="CV17" s="298">
        <f t="shared" si="28"/>
        <v>32.5</v>
      </c>
      <c r="CW17" s="299">
        <v>25</v>
      </c>
      <c r="CX17" s="158"/>
    </row>
    <row r="18" spans="1:102" ht="17.25" customHeight="1" thickBot="1">
      <c r="A18" s="349">
        <v>1</v>
      </c>
      <c r="B18" s="290" t="s">
        <v>2</v>
      </c>
      <c r="C18" s="350" t="s">
        <v>3</v>
      </c>
      <c r="D18" s="351">
        <f>LOOKUP(D8,O7:O27,P7:P27)</f>
        <v>16</v>
      </c>
      <c r="E18" s="352"/>
      <c r="F18" s="160"/>
      <c r="G18" s="316">
        <v>37</v>
      </c>
      <c r="H18" s="317" t="s">
        <v>148</v>
      </c>
      <c r="I18" s="328" t="s">
        <v>162</v>
      </c>
      <c r="J18" s="319">
        <f>J25*J9*J8*COS(J4/180*PI())*J16/1.3/(D35^2)/(D37+2*D38)</f>
        <v>22.614406556305394</v>
      </c>
      <c r="K18" s="320" t="s">
        <v>22</v>
      </c>
      <c r="L18" s="182"/>
      <c r="M18" s="158"/>
      <c r="N18" s="158"/>
      <c r="O18" s="267">
        <v>28</v>
      </c>
      <c r="P18" s="343">
        <v>29</v>
      </c>
      <c r="Q18" s="310" t="s">
        <v>182</v>
      </c>
      <c r="R18" s="259">
        <v>200</v>
      </c>
      <c r="S18" s="353" t="s">
        <v>23</v>
      </c>
      <c r="T18" s="158"/>
      <c r="U18" s="158"/>
      <c r="V18" s="158"/>
      <c r="W18" s="293">
        <v>125</v>
      </c>
      <c r="X18" s="294">
        <v>125</v>
      </c>
      <c r="Y18" s="276">
        <v>10</v>
      </c>
      <c r="Z18" s="354">
        <v>25</v>
      </c>
      <c r="AA18" s="355">
        <v>25</v>
      </c>
      <c r="AB18" s="279">
        <v>43</v>
      </c>
      <c r="AC18" s="280">
        <f>AC17-0.07/5</f>
        <v>1.508</v>
      </c>
      <c r="AD18" s="281">
        <v>0.065</v>
      </c>
      <c r="AE18" s="282">
        <f t="shared" si="1"/>
        <v>5.8222222222222255</v>
      </c>
      <c r="AF18" s="158"/>
      <c r="AG18" s="158"/>
      <c r="AH18" s="158"/>
      <c r="AI18" s="158"/>
      <c r="AJ18" s="158"/>
      <c r="AK18" s="158"/>
      <c r="AL18" s="158"/>
      <c r="AM18" s="158"/>
      <c r="AN18" s="284">
        <v>250</v>
      </c>
      <c r="AO18" s="285">
        <f t="shared" si="2"/>
        <v>10.9375</v>
      </c>
      <c r="AP18" s="285">
        <f t="shared" si="3"/>
        <v>13.28125</v>
      </c>
      <c r="AQ18" s="286">
        <v>12.5</v>
      </c>
      <c r="AR18" s="285">
        <f t="shared" si="4"/>
        <v>8</v>
      </c>
      <c r="AS18" s="287">
        <v>8</v>
      </c>
      <c r="AT18" s="158"/>
      <c r="AU18" s="284">
        <v>250</v>
      </c>
      <c r="AV18" s="285">
        <f t="shared" si="5"/>
        <v>9.722222222222221</v>
      </c>
      <c r="AW18" s="285">
        <f t="shared" si="6"/>
        <v>11.805555555555555</v>
      </c>
      <c r="AX18" s="286">
        <v>10</v>
      </c>
      <c r="AY18" s="285">
        <f t="shared" si="7"/>
        <v>14</v>
      </c>
      <c r="AZ18" s="287">
        <v>12.5</v>
      </c>
      <c r="BA18" s="193"/>
      <c r="BB18" s="284">
        <v>250</v>
      </c>
      <c r="BC18" s="285">
        <f t="shared" si="8"/>
        <v>8.75</v>
      </c>
      <c r="BD18" s="285">
        <f t="shared" si="9"/>
        <v>10.625</v>
      </c>
      <c r="BE18" s="286">
        <v>10</v>
      </c>
      <c r="BF18" s="285">
        <f t="shared" si="10"/>
        <v>10</v>
      </c>
      <c r="BG18" s="287">
        <v>10</v>
      </c>
      <c r="BH18" s="158"/>
      <c r="BI18" s="284">
        <v>250</v>
      </c>
      <c r="BJ18" s="285">
        <f t="shared" si="11"/>
        <v>7.608695652173913</v>
      </c>
      <c r="BK18" s="285">
        <f t="shared" si="12"/>
        <v>9.23913043478261</v>
      </c>
      <c r="BL18" s="286">
        <v>8</v>
      </c>
      <c r="BM18" s="285">
        <f t="shared" si="13"/>
        <v>16.5</v>
      </c>
      <c r="BN18" s="287">
        <v>16</v>
      </c>
      <c r="BO18" s="193"/>
      <c r="BP18" s="284">
        <v>250</v>
      </c>
      <c r="BQ18" s="285">
        <f t="shared" si="14"/>
        <v>7</v>
      </c>
      <c r="BR18" s="285">
        <f t="shared" si="15"/>
        <v>8.5</v>
      </c>
      <c r="BS18" s="286">
        <v>8</v>
      </c>
      <c r="BT18" s="285">
        <f t="shared" si="16"/>
        <v>12.5</v>
      </c>
      <c r="BU18" s="287">
        <v>12.5</v>
      </c>
      <c r="BV18" s="158"/>
      <c r="BW18" s="284">
        <v>250</v>
      </c>
      <c r="BX18" s="285">
        <f t="shared" si="17"/>
        <v>6.0344827586206895</v>
      </c>
      <c r="BY18" s="285">
        <f t="shared" si="18"/>
        <v>7.327586206896552</v>
      </c>
      <c r="BZ18" s="286">
        <v>6.3</v>
      </c>
      <c r="CA18" s="285">
        <f t="shared" si="19"/>
        <v>21.365079365079367</v>
      </c>
      <c r="CB18" s="287">
        <v>20</v>
      </c>
      <c r="CC18" s="158"/>
      <c r="CD18" s="284">
        <v>250</v>
      </c>
      <c r="CE18" s="285">
        <f t="shared" si="20"/>
        <v>5.555555555555555</v>
      </c>
      <c r="CF18" s="285">
        <f t="shared" si="21"/>
        <v>6.746031746031746</v>
      </c>
      <c r="CG18" s="286">
        <v>6.3</v>
      </c>
      <c r="CH18" s="285">
        <f t="shared" si="22"/>
        <v>16.365079365079367</v>
      </c>
      <c r="CI18" s="287">
        <v>16</v>
      </c>
      <c r="CJ18" s="158"/>
      <c r="CK18" s="284">
        <v>250</v>
      </c>
      <c r="CL18" s="285">
        <f t="shared" si="23"/>
        <v>4.794520547945205</v>
      </c>
      <c r="CM18" s="285">
        <f t="shared" si="24"/>
        <v>5.821917808219178</v>
      </c>
      <c r="CN18" s="286">
        <v>5</v>
      </c>
      <c r="CO18" s="285">
        <f t="shared" si="25"/>
        <v>27</v>
      </c>
      <c r="CP18" s="288">
        <v>25</v>
      </c>
      <c r="CQ18" s="193"/>
      <c r="CR18" s="284">
        <v>250</v>
      </c>
      <c r="CS18" s="285">
        <f t="shared" si="26"/>
        <v>4.375</v>
      </c>
      <c r="CT18" s="285">
        <f t="shared" si="27"/>
        <v>5.3125</v>
      </c>
      <c r="CU18" s="286">
        <v>5</v>
      </c>
      <c r="CV18" s="285">
        <f t="shared" si="28"/>
        <v>20</v>
      </c>
      <c r="CW18" s="287">
        <v>20</v>
      </c>
      <c r="CX18" s="158"/>
    </row>
    <row r="19" spans="1:102" ht="17.25" customHeight="1" thickBot="1">
      <c r="A19" s="356">
        <v>2</v>
      </c>
      <c r="B19" s="357" t="s">
        <v>5</v>
      </c>
      <c r="C19" s="358" t="s">
        <v>118</v>
      </c>
      <c r="D19" s="359">
        <f>D12/D18</f>
        <v>93.75</v>
      </c>
      <c r="E19" s="360" t="s">
        <v>6</v>
      </c>
      <c r="F19" s="160"/>
      <c r="G19" s="177">
        <v>38</v>
      </c>
      <c r="H19" s="361" t="s">
        <v>209</v>
      </c>
      <c r="I19" s="362" t="s">
        <v>230</v>
      </c>
      <c r="J19" s="363">
        <f>(J18-J17)/J17*100</f>
        <v>-55.738636757549465</v>
      </c>
      <c r="K19" s="364" t="s">
        <v>137</v>
      </c>
      <c r="L19" s="182"/>
      <c r="M19" s="158"/>
      <c r="N19" s="158"/>
      <c r="O19" s="293">
        <v>31.5</v>
      </c>
      <c r="P19" s="365">
        <v>32</v>
      </c>
      <c r="Q19" s="158"/>
      <c r="R19" s="158"/>
      <c r="S19" s="196"/>
      <c r="T19" s="158"/>
      <c r="U19" s="158"/>
      <c r="V19" s="158"/>
      <c r="W19" s="295">
        <v>132.5</v>
      </c>
      <c r="X19" s="294">
        <v>140</v>
      </c>
      <c r="Y19" s="276">
        <v>12.5</v>
      </c>
      <c r="Z19" s="228"/>
      <c r="AA19" s="159"/>
      <c r="AB19" s="366">
        <v>44</v>
      </c>
      <c r="AC19" s="280">
        <f>AC18-0.07/5</f>
        <v>1.494</v>
      </c>
      <c r="AD19" s="281">
        <v>0.07</v>
      </c>
      <c r="AE19" s="282">
        <f t="shared" si="1"/>
        <v>5.733333333333337</v>
      </c>
      <c r="AF19" s="158"/>
      <c r="AG19" s="158"/>
      <c r="AH19" s="158"/>
      <c r="AI19" s="158"/>
      <c r="AJ19" s="158"/>
      <c r="AK19" s="158"/>
      <c r="AL19" s="158"/>
      <c r="AM19" s="158"/>
      <c r="AN19" s="284">
        <v>280</v>
      </c>
      <c r="AO19" s="285">
        <f t="shared" si="2"/>
        <v>12.25</v>
      </c>
      <c r="AP19" s="285">
        <f t="shared" si="3"/>
        <v>14.875</v>
      </c>
      <c r="AQ19" s="286">
        <v>12.5</v>
      </c>
      <c r="AR19" s="285">
        <f t="shared" si="4"/>
        <v>12.799999999999997</v>
      </c>
      <c r="AS19" s="287">
        <v>12.5</v>
      </c>
      <c r="AT19" s="158"/>
      <c r="AU19" s="284">
        <v>280</v>
      </c>
      <c r="AV19" s="285">
        <f t="shared" si="5"/>
        <v>10.88888888888889</v>
      </c>
      <c r="AW19" s="285">
        <f t="shared" si="6"/>
        <v>13.222222222222221</v>
      </c>
      <c r="AX19" s="286">
        <v>12.5</v>
      </c>
      <c r="AY19" s="285">
        <f t="shared" si="7"/>
        <v>8.799999999999997</v>
      </c>
      <c r="AZ19" s="287">
        <v>8</v>
      </c>
      <c r="BA19" s="193"/>
      <c r="BB19" s="284">
        <v>280</v>
      </c>
      <c r="BC19" s="285">
        <f t="shared" si="8"/>
        <v>9.8</v>
      </c>
      <c r="BD19" s="285">
        <f t="shared" si="9"/>
        <v>11.9</v>
      </c>
      <c r="BE19" s="286">
        <v>10</v>
      </c>
      <c r="BF19" s="285">
        <f t="shared" si="10"/>
        <v>16</v>
      </c>
      <c r="BG19" s="287">
        <v>16</v>
      </c>
      <c r="BH19" s="158"/>
      <c r="BI19" s="284">
        <v>280</v>
      </c>
      <c r="BJ19" s="285">
        <f t="shared" si="11"/>
        <v>8.521739130434783</v>
      </c>
      <c r="BK19" s="285">
        <f t="shared" si="12"/>
        <v>10.347826086956522</v>
      </c>
      <c r="BL19" s="286">
        <v>10</v>
      </c>
      <c r="BM19" s="285">
        <f t="shared" si="13"/>
        <v>10</v>
      </c>
      <c r="BN19" s="287">
        <v>10</v>
      </c>
      <c r="BO19" s="193"/>
      <c r="BP19" s="284">
        <v>280</v>
      </c>
      <c r="BQ19" s="285">
        <f t="shared" si="14"/>
        <v>7.84</v>
      </c>
      <c r="BR19" s="285">
        <f t="shared" si="15"/>
        <v>9.52</v>
      </c>
      <c r="BS19" s="286">
        <v>8</v>
      </c>
      <c r="BT19" s="285">
        <f t="shared" si="16"/>
        <v>20</v>
      </c>
      <c r="BU19" s="287">
        <v>20</v>
      </c>
      <c r="BV19" s="158"/>
      <c r="BW19" s="284">
        <v>280</v>
      </c>
      <c r="BX19" s="285">
        <f t="shared" si="17"/>
        <v>6.758620689655173</v>
      </c>
      <c r="BY19" s="285">
        <f t="shared" si="18"/>
        <v>8.206896551724139</v>
      </c>
      <c r="BZ19" s="286">
        <v>8</v>
      </c>
      <c r="CA19" s="285">
        <f t="shared" si="19"/>
        <v>12</v>
      </c>
      <c r="CB19" s="287">
        <v>12.5</v>
      </c>
      <c r="CC19" s="158"/>
      <c r="CD19" s="284">
        <v>280</v>
      </c>
      <c r="CE19" s="285">
        <f t="shared" si="20"/>
        <v>6.222222222222222</v>
      </c>
      <c r="CF19" s="285">
        <f t="shared" si="21"/>
        <v>7.555555555555555</v>
      </c>
      <c r="CG19" s="286">
        <v>6.3</v>
      </c>
      <c r="CH19" s="285">
        <f t="shared" si="22"/>
        <v>25.888888888888886</v>
      </c>
      <c r="CI19" s="288">
        <v>25</v>
      </c>
      <c r="CJ19" s="158"/>
      <c r="CK19" s="284">
        <v>280</v>
      </c>
      <c r="CL19" s="285">
        <f t="shared" si="23"/>
        <v>5.36986301369863</v>
      </c>
      <c r="CM19" s="285">
        <f t="shared" si="24"/>
        <v>6.52054794520548</v>
      </c>
      <c r="CN19" s="286">
        <v>6.3</v>
      </c>
      <c r="CO19" s="285">
        <f t="shared" si="25"/>
        <v>15.888888888888886</v>
      </c>
      <c r="CP19" s="287">
        <v>16</v>
      </c>
      <c r="CQ19" s="193"/>
      <c r="CR19" s="297">
        <v>280</v>
      </c>
      <c r="CS19" s="298">
        <f t="shared" si="26"/>
        <v>4.9</v>
      </c>
      <c r="CT19" s="298">
        <f t="shared" si="27"/>
        <v>5.95</v>
      </c>
      <c r="CU19" s="298">
        <v>5</v>
      </c>
      <c r="CV19" s="298">
        <f t="shared" si="28"/>
        <v>32</v>
      </c>
      <c r="CW19" s="299">
        <v>25</v>
      </c>
      <c r="CX19" s="158"/>
    </row>
    <row r="20" spans="1:102" ht="17.25" customHeight="1" thickBot="1">
      <c r="A20" s="367">
        <v>3</v>
      </c>
      <c r="B20" s="368" t="s">
        <v>0</v>
      </c>
      <c r="C20" s="369" t="s">
        <v>119</v>
      </c>
      <c r="D20" s="370">
        <f>IF(D8&lt;=14,4,IF(D8&lt;=30,2,1))</f>
        <v>2</v>
      </c>
      <c r="E20" s="371"/>
      <c r="F20" s="160"/>
      <c r="G20" s="372">
        <v>39</v>
      </c>
      <c r="H20" s="373" t="s">
        <v>235</v>
      </c>
      <c r="I20" s="374"/>
      <c r="J20" s="375" t="str">
        <f>IF(J10&gt;=10,"6-С",IF(J10&gt;=5,"7-С",IF(J10&gt;=2,"8-D","9-D")))</f>
        <v>9-D</v>
      </c>
      <c r="K20" s="376"/>
      <c r="L20" s="182"/>
      <c r="M20" s="158"/>
      <c r="N20" s="158"/>
      <c r="O20" s="267">
        <v>35.5</v>
      </c>
      <c r="P20" s="377">
        <v>36</v>
      </c>
      <c r="Q20" s="158"/>
      <c r="R20" s="158"/>
      <c r="S20" s="196"/>
      <c r="T20" s="158"/>
      <c r="U20" s="158"/>
      <c r="V20" s="158"/>
      <c r="W20" s="293">
        <v>140</v>
      </c>
      <c r="X20" s="294">
        <v>140</v>
      </c>
      <c r="Y20" s="276">
        <v>16</v>
      </c>
      <c r="Z20" s="228"/>
      <c r="AA20" s="159"/>
      <c r="AB20" s="378">
        <v>45</v>
      </c>
      <c r="AC20" s="305">
        <v>1.48</v>
      </c>
      <c r="AD20" s="281">
        <v>0.075</v>
      </c>
      <c r="AE20" s="282">
        <f t="shared" si="1"/>
        <v>5.644444444444448</v>
      </c>
      <c r="AF20" s="158"/>
      <c r="AG20" s="158"/>
      <c r="AH20" s="158"/>
      <c r="AI20" s="158"/>
      <c r="AJ20" s="158"/>
      <c r="AK20" s="158"/>
      <c r="AL20" s="158"/>
      <c r="AM20" s="158"/>
      <c r="AN20" s="284">
        <v>315</v>
      </c>
      <c r="AO20" s="285">
        <f t="shared" si="2"/>
        <v>13.78125</v>
      </c>
      <c r="AP20" s="285">
        <f t="shared" si="3"/>
        <v>16.734375</v>
      </c>
      <c r="AQ20" s="286">
        <v>16</v>
      </c>
      <c r="AR20" s="285">
        <f t="shared" si="4"/>
        <v>7.375</v>
      </c>
      <c r="AS20" s="287">
        <v>8</v>
      </c>
      <c r="AT20" s="158"/>
      <c r="AU20" s="284">
        <v>315</v>
      </c>
      <c r="AV20" s="285">
        <f t="shared" si="5"/>
        <v>12.25</v>
      </c>
      <c r="AW20" s="285">
        <f t="shared" si="6"/>
        <v>14.875</v>
      </c>
      <c r="AX20" s="286">
        <v>12.5</v>
      </c>
      <c r="AY20" s="285">
        <f t="shared" si="7"/>
        <v>14.399999999999999</v>
      </c>
      <c r="AZ20" s="287">
        <v>12.5</v>
      </c>
      <c r="BA20" s="193"/>
      <c r="BB20" s="284">
        <v>315</v>
      </c>
      <c r="BC20" s="285">
        <f t="shared" si="8"/>
        <v>11.025</v>
      </c>
      <c r="BD20" s="285">
        <f t="shared" si="9"/>
        <v>13.3875</v>
      </c>
      <c r="BE20" s="286">
        <v>12.5</v>
      </c>
      <c r="BF20" s="285">
        <f t="shared" si="10"/>
        <v>10.399999999999999</v>
      </c>
      <c r="BG20" s="287">
        <v>10</v>
      </c>
      <c r="BH20" s="158"/>
      <c r="BI20" s="284">
        <v>315</v>
      </c>
      <c r="BJ20" s="285">
        <f t="shared" si="11"/>
        <v>9.58695652173913</v>
      </c>
      <c r="BK20" s="285">
        <f t="shared" si="12"/>
        <v>11.641304347826088</v>
      </c>
      <c r="BL20" s="286">
        <v>10</v>
      </c>
      <c r="BM20" s="285">
        <f t="shared" si="13"/>
        <v>17</v>
      </c>
      <c r="BN20" s="287">
        <v>16</v>
      </c>
      <c r="BO20" s="193"/>
      <c r="BP20" s="284">
        <v>315</v>
      </c>
      <c r="BQ20" s="285">
        <f t="shared" si="14"/>
        <v>8.82</v>
      </c>
      <c r="BR20" s="285">
        <f t="shared" si="15"/>
        <v>10.71</v>
      </c>
      <c r="BS20" s="286">
        <v>10</v>
      </c>
      <c r="BT20" s="285">
        <f t="shared" si="16"/>
        <v>13</v>
      </c>
      <c r="BU20" s="287">
        <v>12.5</v>
      </c>
      <c r="BV20" s="158"/>
      <c r="BW20" s="284">
        <v>315</v>
      </c>
      <c r="BX20" s="285">
        <f t="shared" si="17"/>
        <v>7.603448275862069</v>
      </c>
      <c r="BY20" s="285">
        <f t="shared" si="18"/>
        <v>9.232758620689655</v>
      </c>
      <c r="BZ20" s="286">
        <v>8</v>
      </c>
      <c r="CA20" s="285">
        <f t="shared" si="19"/>
        <v>20.75</v>
      </c>
      <c r="CB20" s="287">
        <v>20</v>
      </c>
      <c r="CC20" s="158"/>
      <c r="CD20" s="284">
        <v>315</v>
      </c>
      <c r="CE20" s="285">
        <f t="shared" si="20"/>
        <v>7</v>
      </c>
      <c r="CF20" s="285">
        <f t="shared" si="21"/>
        <v>8.5</v>
      </c>
      <c r="CG20" s="286">
        <v>8</v>
      </c>
      <c r="CH20" s="285">
        <f t="shared" si="22"/>
        <v>15.75</v>
      </c>
      <c r="CI20" s="287">
        <v>16</v>
      </c>
      <c r="CJ20" s="158"/>
      <c r="CK20" s="284">
        <v>315</v>
      </c>
      <c r="CL20" s="285">
        <f t="shared" si="23"/>
        <v>6.041095890410959</v>
      </c>
      <c r="CM20" s="285">
        <f t="shared" si="24"/>
        <v>7.335616438356165</v>
      </c>
      <c r="CN20" s="286">
        <v>6.3</v>
      </c>
      <c r="CO20" s="285">
        <f t="shared" si="25"/>
        <v>27</v>
      </c>
      <c r="CP20" s="288">
        <v>25</v>
      </c>
      <c r="CQ20" s="193"/>
      <c r="CR20" s="284">
        <v>315</v>
      </c>
      <c r="CS20" s="285">
        <f t="shared" si="26"/>
        <v>5.5125</v>
      </c>
      <c r="CT20" s="285">
        <f t="shared" si="27"/>
        <v>6.69375</v>
      </c>
      <c r="CU20" s="286">
        <v>6.3</v>
      </c>
      <c r="CV20" s="285">
        <f t="shared" si="28"/>
        <v>20</v>
      </c>
      <c r="CW20" s="287">
        <v>20</v>
      </c>
      <c r="CX20" s="158"/>
    </row>
    <row r="21" spans="1:102" ht="17.25" customHeight="1" thickBot="1">
      <c r="A21" s="379">
        <v>4</v>
      </c>
      <c r="B21" s="380" t="s">
        <v>1</v>
      </c>
      <c r="C21" s="381" t="s">
        <v>120</v>
      </c>
      <c r="D21" s="382">
        <f>D20*D18</f>
        <v>32</v>
      </c>
      <c r="E21" s="383"/>
      <c r="F21" s="160"/>
      <c r="G21" s="384">
        <v>40</v>
      </c>
      <c r="H21" s="385" t="s">
        <v>202</v>
      </c>
      <c r="I21" s="386" t="s">
        <v>203</v>
      </c>
      <c r="J21" s="387">
        <f>IF(OR(Q5=1,Q5=2,Q5=3,Q5=4,Q5=5,Q5=6,Q5=7,Q5=8),(LOOKUP(J10,AD7:AD81,AE7:AE81)),6)</f>
        <v>2.7399999999999998</v>
      </c>
      <c r="K21" s="388" t="s">
        <v>122</v>
      </c>
      <c r="L21" s="182"/>
      <c r="M21" s="389"/>
      <c r="N21" s="158"/>
      <c r="O21" s="293">
        <v>40</v>
      </c>
      <c r="P21" s="390">
        <v>40</v>
      </c>
      <c r="Q21" s="158"/>
      <c r="R21" s="158"/>
      <c r="S21" s="196"/>
      <c r="T21" s="158"/>
      <c r="U21" s="158"/>
      <c r="V21" s="158"/>
      <c r="W21" s="295">
        <v>150</v>
      </c>
      <c r="X21" s="294">
        <v>160</v>
      </c>
      <c r="Y21" s="391">
        <v>20</v>
      </c>
      <c r="Z21" s="228"/>
      <c r="AA21" s="159"/>
      <c r="AB21" s="366">
        <v>46</v>
      </c>
      <c r="AC21" s="280">
        <f>AC20-0.03/5</f>
        <v>1.474</v>
      </c>
      <c r="AD21" s="281">
        <v>0.08</v>
      </c>
      <c r="AE21" s="282">
        <f>AE19-1.6/9</f>
        <v>5.555555555555559</v>
      </c>
      <c r="AF21" s="158"/>
      <c r="AG21" s="158"/>
      <c r="AH21" s="158"/>
      <c r="AI21" s="158"/>
      <c r="AJ21" s="158"/>
      <c r="AK21" s="158"/>
      <c r="AL21" s="158"/>
      <c r="AM21" s="158"/>
      <c r="AN21" s="284">
        <v>355</v>
      </c>
      <c r="AO21" s="285">
        <f t="shared" si="2"/>
        <v>15.531249999999998</v>
      </c>
      <c r="AP21" s="285">
        <f t="shared" si="3"/>
        <v>18.859375</v>
      </c>
      <c r="AQ21" s="286">
        <v>16</v>
      </c>
      <c r="AR21" s="285">
        <f t="shared" si="4"/>
        <v>12.375</v>
      </c>
      <c r="AS21" s="287">
        <v>12.5</v>
      </c>
      <c r="AT21" s="158"/>
      <c r="AU21" s="284">
        <v>355</v>
      </c>
      <c r="AV21" s="285">
        <f t="shared" si="5"/>
        <v>13.805555555555554</v>
      </c>
      <c r="AW21" s="285">
        <f t="shared" si="6"/>
        <v>16.76388888888889</v>
      </c>
      <c r="AX21" s="286">
        <v>16</v>
      </c>
      <c r="AY21" s="285">
        <f t="shared" si="7"/>
        <v>8.375</v>
      </c>
      <c r="AZ21" s="287">
        <v>8</v>
      </c>
      <c r="BA21" s="193"/>
      <c r="BB21" s="284">
        <v>355</v>
      </c>
      <c r="BC21" s="285">
        <f t="shared" si="8"/>
        <v>12.424999999999999</v>
      </c>
      <c r="BD21" s="285">
        <f t="shared" si="9"/>
        <v>15.0875</v>
      </c>
      <c r="BE21" s="286">
        <v>12.5</v>
      </c>
      <c r="BF21" s="285">
        <f t="shared" si="10"/>
        <v>16.799999999999997</v>
      </c>
      <c r="BG21" s="287">
        <v>16</v>
      </c>
      <c r="BH21" s="158"/>
      <c r="BI21" s="284">
        <v>355</v>
      </c>
      <c r="BJ21" s="285">
        <f t="shared" si="11"/>
        <v>10.804347826086955</v>
      </c>
      <c r="BK21" s="285">
        <f t="shared" si="12"/>
        <v>13.119565217391305</v>
      </c>
      <c r="BL21" s="286">
        <v>12.5</v>
      </c>
      <c r="BM21" s="285">
        <f t="shared" si="13"/>
        <v>10.799999999999997</v>
      </c>
      <c r="BN21" s="287">
        <v>10</v>
      </c>
      <c r="BO21" s="193"/>
      <c r="BP21" s="284">
        <v>355</v>
      </c>
      <c r="BQ21" s="285">
        <f t="shared" si="14"/>
        <v>9.94</v>
      </c>
      <c r="BR21" s="285">
        <f t="shared" si="15"/>
        <v>12.07</v>
      </c>
      <c r="BS21" s="286">
        <v>10</v>
      </c>
      <c r="BT21" s="285">
        <f t="shared" si="16"/>
        <v>21</v>
      </c>
      <c r="BU21" s="287">
        <v>20</v>
      </c>
      <c r="BV21" s="158"/>
      <c r="BW21" s="284">
        <v>355</v>
      </c>
      <c r="BX21" s="285">
        <f t="shared" si="17"/>
        <v>8.568965517241379</v>
      </c>
      <c r="BY21" s="285">
        <f t="shared" si="18"/>
        <v>10.405172413793103</v>
      </c>
      <c r="BZ21" s="286">
        <v>10</v>
      </c>
      <c r="CA21" s="285">
        <f t="shared" si="19"/>
        <v>13</v>
      </c>
      <c r="CB21" s="287">
        <v>12.5</v>
      </c>
      <c r="CC21" s="158"/>
      <c r="CD21" s="284">
        <v>355</v>
      </c>
      <c r="CE21" s="285">
        <f t="shared" si="20"/>
        <v>7.888888888888888</v>
      </c>
      <c r="CF21" s="285">
        <f t="shared" si="21"/>
        <v>9.579365079365079</v>
      </c>
      <c r="CG21" s="286">
        <v>8</v>
      </c>
      <c r="CH21" s="285">
        <f t="shared" si="22"/>
        <v>25.75</v>
      </c>
      <c r="CI21" s="288">
        <v>25</v>
      </c>
      <c r="CJ21" s="158"/>
      <c r="CK21" s="284">
        <v>355</v>
      </c>
      <c r="CL21" s="285">
        <f t="shared" si="23"/>
        <v>6.808219178082191</v>
      </c>
      <c r="CM21" s="285">
        <f t="shared" si="24"/>
        <v>8.267123287671232</v>
      </c>
      <c r="CN21" s="286">
        <v>8</v>
      </c>
      <c r="CO21" s="285">
        <f t="shared" si="25"/>
        <v>15.75</v>
      </c>
      <c r="CP21" s="287">
        <v>16</v>
      </c>
      <c r="CQ21" s="193"/>
      <c r="CR21" s="297">
        <v>355</v>
      </c>
      <c r="CS21" s="298">
        <f t="shared" si="26"/>
        <v>6.2124999999999995</v>
      </c>
      <c r="CT21" s="298">
        <f t="shared" si="27"/>
        <v>7.54375</v>
      </c>
      <c r="CU21" s="298">
        <v>6.3</v>
      </c>
      <c r="CV21" s="298">
        <f t="shared" si="28"/>
        <v>32.698412698412696</v>
      </c>
      <c r="CW21" s="299">
        <v>25</v>
      </c>
      <c r="CX21" s="158"/>
    </row>
    <row r="22" spans="1:102" ht="17.25" customHeight="1">
      <c r="A22" s="336">
        <v>5</v>
      </c>
      <c r="B22" s="392" t="s">
        <v>238</v>
      </c>
      <c r="C22" s="393" t="s">
        <v>30</v>
      </c>
      <c r="D22" s="394">
        <f>IF(M5=1,0.8,1)</f>
        <v>1</v>
      </c>
      <c r="E22" s="186"/>
      <c r="F22" s="160"/>
      <c r="G22" s="395">
        <v>41</v>
      </c>
      <c r="H22" s="209" t="s">
        <v>224</v>
      </c>
      <c r="I22" s="209"/>
      <c r="J22" s="396" t="str">
        <f>IF(J4&lt;J21,"да","нет")</f>
        <v>нет</v>
      </c>
      <c r="K22" s="264"/>
      <c r="L22" s="182"/>
      <c r="M22" s="158"/>
      <c r="N22" s="158"/>
      <c r="O22" s="267">
        <v>45</v>
      </c>
      <c r="P22" s="377">
        <v>46</v>
      </c>
      <c r="Q22" s="158"/>
      <c r="R22" s="158"/>
      <c r="S22" s="158"/>
      <c r="T22" s="340"/>
      <c r="U22" s="158"/>
      <c r="V22" s="158"/>
      <c r="W22" s="293">
        <v>160</v>
      </c>
      <c r="X22" s="278">
        <v>160</v>
      </c>
      <c r="Y22" s="228"/>
      <c r="Z22" s="228"/>
      <c r="AA22" s="159"/>
      <c r="AB22" s="366">
        <v>47</v>
      </c>
      <c r="AC22" s="280">
        <f>AC21-0.03/5</f>
        <v>1.468</v>
      </c>
      <c r="AD22" s="281">
        <v>0.085</v>
      </c>
      <c r="AE22" s="282">
        <f>AE20-1.6/9</f>
        <v>5.46666666666667</v>
      </c>
      <c r="AF22" s="158"/>
      <c r="AG22" s="158"/>
      <c r="AH22" s="158"/>
      <c r="AI22" s="158"/>
      <c r="AJ22" s="158"/>
      <c r="AK22" s="158"/>
      <c r="AL22" s="158"/>
      <c r="AM22" s="158"/>
      <c r="AN22" s="284">
        <v>400</v>
      </c>
      <c r="AO22" s="285">
        <f t="shared" si="2"/>
        <v>17.5</v>
      </c>
      <c r="AP22" s="285">
        <f t="shared" si="3"/>
        <v>21.25</v>
      </c>
      <c r="AQ22" s="286">
        <v>20</v>
      </c>
      <c r="AR22" s="285">
        <f t="shared" si="4"/>
        <v>8</v>
      </c>
      <c r="AS22" s="287">
        <v>8</v>
      </c>
      <c r="AT22" s="158"/>
      <c r="AU22" s="284">
        <v>400</v>
      </c>
      <c r="AV22" s="285">
        <f t="shared" si="5"/>
        <v>15.555555555555555</v>
      </c>
      <c r="AW22" s="285">
        <f t="shared" si="6"/>
        <v>18.88888888888889</v>
      </c>
      <c r="AX22" s="286">
        <v>16</v>
      </c>
      <c r="AY22" s="285">
        <f t="shared" si="7"/>
        <v>14</v>
      </c>
      <c r="AZ22" s="287">
        <v>12.5</v>
      </c>
      <c r="BA22" s="193"/>
      <c r="BB22" s="284">
        <v>400</v>
      </c>
      <c r="BC22" s="285">
        <f t="shared" si="8"/>
        <v>14</v>
      </c>
      <c r="BD22" s="285">
        <f t="shared" si="9"/>
        <v>17</v>
      </c>
      <c r="BE22" s="286">
        <v>16</v>
      </c>
      <c r="BF22" s="285">
        <f t="shared" si="10"/>
        <v>10</v>
      </c>
      <c r="BG22" s="287">
        <v>10</v>
      </c>
      <c r="BH22" s="158"/>
      <c r="BI22" s="284">
        <v>400</v>
      </c>
      <c r="BJ22" s="285">
        <f t="shared" si="11"/>
        <v>12.173913043478262</v>
      </c>
      <c r="BK22" s="285">
        <f t="shared" si="12"/>
        <v>14.782608695652174</v>
      </c>
      <c r="BL22" s="286">
        <v>12.5</v>
      </c>
      <c r="BM22" s="285">
        <f t="shared" si="13"/>
        <v>18</v>
      </c>
      <c r="BN22" s="287">
        <v>16</v>
      </c>
      <c r="BO22" s="193"/>
      <c r="BP22" s="284">
        <v>400</v>
      </c>
      <c r="BQ22" s="285">
        <f t="shared" si="14"/>
        <v>11.2</v>
      </c>
      <c r="BR22" s="285">
        <f t="shared" si="15"/>
        <v>13.6</v>
      </c>
      <c r="BS22" s="286">
        <v>12.5</v>
      </c>
      <c r="BT22" s="285">
        <f t="shared" si="16"/>
        <v>14</v>
      </c>
      <c r="BU22" s="287">
        <v>12.5</v>
      </c>
      <c r="BV22" s="158"/>
      <c r="BW22" s="284">
        <v>400</v>
      </c>
      <c r="BX22" s="285">
        <f t="shared" si="17"/>
        <v>9.655172413793103</v>
      </c>
      <c r="BY22" s="285">
        <f t="shared" si="18"/>
        <v>11.724137931034482</v>
      </c>
      <c r="BZ22" s="286">
        <v>10</v>
      </c>
      <c r="CA22" s="285">
        <f t="shared" si="19"/>
        <v>22</v>
      </c>
      <c r="CB22" s="287">
        <v>20</v>
      </c>
      <c r="CC22" s="158"/>
      <c r="CD22" s="284">
        <v>400</v>
      </c>
      <c r="CE22" s="285">
        <f t="shared" si="20"/>
        <v>8.88888888888889</v>
      </c>
      <c r="CF22" s="285">
        <f t="shared" si="21"/>
        <v>10.793650793650794</v>
      </c>
      <c r="CG22" s="286">
        <v>10</v>
      </c>
      <c r="CH22" s="285">
        <f t="shared" si="22"/>
        <v>17</v>
      </c>
      <c r="CI22" s="287">
        <v>16</v>
      </c>
      <c r="CJ22" s="158"/>
      <c r="CK22" s="284">
        <v>400</v>
      </c>
      <c r="CL22" s="285">
        <f t="shared" si="23"/>
        <v>7.671232876712328</v>
      </c>
      <c r="CM22" s="285">
        <f t="shared" si="24"/>
        <v>9.315068493150685</v>
      </c>
      <c r="CN22" s="286">
        <v>8</v>
      </c>
      <c r="CO22" s="285">
        <f t="shared" si="25"/>
        <v>27</v>
      </c>
      <c r="CP22" s="288">
        <v>25</v>
      </c>
      <c r="CQ22" s="193"/>
      <c r="CR22" s="284">
        <v>400</v>
      </c>
      <c r="CS22" s="285">
        <f t="shared" si="26"/>
        <v>7</v>
      </c>
      <c r="CT22" s="285">
        <f t="shared" si="27"/>
        <v>8.5</v>
      </c>
      <c r="CU22" s="286">
        <v>8</v>
      </c>
      <c r="CV22" s="285">
        <f t="shared" si="28"/>
        <v>20</v>
      </c>
      <c r="CW22" s="287">
        <v>20</v>
      </c>
      <c r="CX22" s="158"/>
    </row>
    <row r="23" spans="1:102" ht="17.25" customHeight="1">
      <c r="A23" s="395">
        <v>6</v>
      </c>
      <c r="B23" s="397" t="s">
        <v>29</v>
      </c>
      <c r="C23" s="307" t="s">
        <v>17</v>
      </c>
      <c r="D23" s="263">
        <f>4.5*D12*(D13)^(1/3)/10000</f>
        <v>2.248347803823758</v>
      </c>
      <c r="E23" s="264" t="s">
        <v>13</v>
      </c>
      <c r="F23" s="160"/>
      <c r="G23" s="395">
        <v>42</v>
      </c>
      <c r="H23" s="209" t="s">
        <v>225</v>
      </c>
      <c r="I23" s="209"/>
      <c r="J23" s="396" t="str">
        <f>IF((J4*2)&lt;J21,"да","нет")</f>
        <v>нет</v>
      </c>
      <c r="K23" s="264"/>
      <c r="L23" s="182"/>
      <c r="M23" s="158"/>
      <c r="N23" s="158"/>
      <c r="O23" s="293">
        <v>50</v>
      </c>
      <c r="P23" s="390">
        <v>50</v>
      </c>
      <c r="Q23" s="158"/>
      <c r="R23" s="158"/>
      <c r="S23" s="158"/>
      <c r="T23" s="340"/>
      <c r="U23" s="158"/>
      <c r="V23" s="158"/>
      <c r="W23" s="295">
        <v>170</v>
      </c>
      <c r="X23" s="278">
        <v>180</v>
      </c>
      <c r="Y23" s="228"/>
      <c r="Z23" s="228"/>
      <c r="AA23" s="159"/>
      <c r="AB23" s="366">
        <v>48</v>
      </c>
      <c r="AC23" s="280">
        <f>AC22-0.03/5</f>
        <v>1.462</v>
      </c>
      <c r="AD23" s="281">
        <v>0.09</v>
      </c>
      <c r="AE23" s="282">
        <f>AE21-1.6/9</f>
        <v>5.377777777777781</v>
      </c>
      <c r="AF23" s="283"/>
      <c r="AG23" s="158"/>
      <c r="AH23" s="158"/>
      <c r="AI23" s="158"/>
      <c r="AJ23" s="158"/>
      <c r="AK23" s="158"/>
      <c r="AL23" s="158"/>
      <c r="AM23" s="158"/>
      <c r="AN23" s="284">
        <v>450</v>
      </c>
      <c r="AO23" s="285">
        <f t="shared" si="2"/>
        <v>19.6875</v>
      </c>
      <c r="AP23" s="285">
        <f t="shared" si="3"/>
        <v>23.90625</v>
      </c>
      <c r="AQ23" s="398">
        <v>20</v>
      </c>
      <c r="AR23" s="285">
        <f t="shared" si="4"/>
        <v>13</v>
      </c>
      <c r="AS23" s="288">
        <v>12.5</v>
      </c>
      <c r="AT23" s="399"/>
      <c r="AU23" s="284">
        <v>450</v>
      </c>
      <c r="AV23" s="285">
        <f t="shared" si="5"/>
        <v>17.5</v>
      </c>
      <c r="AW23" s="285">
        <f t="shared" si="6"/>
        <v>21.25</v>
      </c>
      <c r="AX23" s="286">
        <v>20</v>
      </c>
      <c r="AY23" s="285">
        <f t="shared" si="7"/>
        <v>9</v>
      </c>
      <c r="AZ23" s="287">
        <v>8</v>
      </c>
      <c r="BA23" s="193"/>
      <c r="BB23" s="284">
        <v>450</v>
      </c>
      <c r="BC23" s="285">
        <f t="shared" si="8"/>
        <v>15.75</v>
      </c>
      <c r="BD23" s="285">
        <f t="shared" si="9"/>
        <v>19.125</v>
      </c>
      <c r="BE23" s="286">
        <v>16</v>
      </c>
      <c r="BF23" s="285">
        <f t="shared" si="10"/>
        <v>16.25</v>
      </c>
      <c r="BG23" s="287">
        <v>16</v>
      </c>
      <c r="BH23" s="158"/>
      <c r="BI23" s="284">
        <v>450</v>
      </c>
      <c r="BJ23" s="285">
        <f t="shared" si="11"/>
        <v>13.695652173913043</v>
      </c>
      <c r="BK23" s="285">
        <f t="shared" si="12"/>
        <v>16.630434782608695</v>
      </c>
      <c r="BL23" s="286">
        <v>16</v>
      </c>
      <c r="BM23" s="285">
        <f t="shared" si="13"/>
        <v>10.25</v>
      </c>
      <c r="BN23" s="287">
        <v>10</v>
      </c>
      <c r="BO23" s="193"/>
      <c r="BP23" s="284">
        <v>450</v>
      </c>
      <c r="BQ23" s="285">
        <f t="shared" si="14"/>
        <v>12.6</v>
      </c>
      <c r="BR23" s="285">
        <f t="shared" si="15"/>
        <v>15.3</v>
      </c>
      <c r="BS23" s="286">
        <v>12.5</v>
      </c>
      <c r="BT23" s="285">
        <f t="shared" si="16"/>
        <v>22</v>
      </c>
      <c r="BU23" s="287">
        <v>20</v>
      </c>
      <c r="BV23" s="158"/>
      <c r="BW23" s="284">
        <v>450</v>
      </c>
      <c r="BX23" s="285">
        <f t="shared" si="17"/>
        <v>10.862068965517242</v>
      </c>
      <c r="BY23" s="285">
        <f t="shared" si="18"/>
        <v>13.189655172413794</v>
      </c>
      <c r="BZ23" s="286">
        <v>12.5</v>
      </c>
      <c r="CA23" s="285">
        <f t="shared" si="19"/>
        <v>14</v>
      </c>
      <c r="CB23" s="287">
        <v>12.5</v>
      </c>
      <c r="CC23" s="158"/>
      <c r="CD23" s="284">
        <v>450</v>
      </c>
      <c r="CE23" s="285">
        <f t="shared" si="20"/>
        <v>10</v>
      </c>
      <c r="CF23" s="285">
        <f t="shared" si="21"/>
        <v>12.142857142857142</v>
      </c>
      <c r="CG23" s="286">
        <v>10</v>
      </c>
      <c r="CH23" s="285">
        <f t="shared" si="22"/>
        <v>27</v>
      </c>
      <c r="CI23" s="288">
        <v>25</v>
      </c>
      <c r="CJ23" s="158"/>
      <c r="CK23" s="284">
        <v>450</v>
      </c>
      <c r="CL23" s="285">
        <f t="shared" si="23"/>
        <v>8.63013698630137</v>
      </c>
      <c r="CM23" s="285">
        <f t="shared" si="24"/>
        <v>10.479452054794521</v>
      </c>
      <c r="CN23" s="286">
        <v>10</v>
      </c>
      <c r="CO23" s="285">
        <f t="shared" si="25"/>
        <v>17</v>
      </c>
      <c r="CP23" s="287">
        <v>16</v>
      </c>
      <c r="CQ23" s="193"/>
      <c r="CR23" s="297">
        <v>450</v>
      </c>
      <c r="CS23" s="298">
        <f t="shared" si="26"/>
        <v>7.875</v>
      </c>
      <c r="CT23" s="298">
        <f t="shared" si="27"/>
        <v>9.5625</v>
      </c>
      <c r="CU23" s="298">
        <v>8</v>
      </c>
      <c r="CV23" s="298">
        <f t="shared" si="28"/>
        <v>32.5</v>
      </c>
      <c r="CW23" s="299">
        <v>25</v>
      </c>
      <c r="CX23" s="158"/>
    </row>
    <row r="24" spans="1:102" ht="17.25" customHeight="1" thickBot="1">
      <c r="A24" s="395">
        <v>7</v>
      </c>
      <c r="B24" s="397" t="s">
        <v>28</v>
      </c>
      <c r="C24" s="307" t="s">
        <v>27</v>
      </c>
      <c r="D24" s="308">
        <f>IF(D23&lt;=1,1.33,IF(D23&gt;=8,0.8,0.0067*D23^2-0.1364*D23+1.4584))</f>
        <v>1.1855943141330654</v>
      </c>
      <c r="E24" s="264"/>
      <c r="F24" s="160"/>
      <c r="G24" s="177">
        <v>43</v>
      </c>
      <c r="H24" s="178" t="s">
        <v>204</v>
      </c>
      <c r="I24" s="179" t="s">
        <v>138</v>
      </c>
      <c r="J24" s="363">
        <f>TAN(J4/180*PI())/TAN((J4+J21)/180*PI())*100</f>
        <v>82.92824765070338</v>
      </c>
      <c r="K24" s="364" t="s">
        <v>137</v>
      </c>
      <c r="L24" s="182"/>
      <c r="M24" s="158"/>
      <c r="N24" s="158"/>
      <c r="O24" s="267">
        <v>56</v>
      </c>
      <c r="P24" s="377">
        <v>58</v>
      </c>
      <c r="Q24" s="158"/>
      <c r="R24" s="158"/>
      <c r="S24" s="158"/>
      <c r="T24" s="340"/>
      <c r="U24" s="158"/>
      <c r="V24" s="158"/>
      <c r="W24" s="293">
        <v>180</v>
      </c>
      <c r="X24" s="278">
        <v>180</v>
      </c>
      <c r="Y24" s="228"/>
      <c r="Z24" s="228"/>
      <c r="AA24" s="159"/>
      <c r="AB24" s="366">
        <v>49</v>
      </c>
      <c r="AC24" s="280">
        <f>AC23-0.03/5</f>
        <v>1.456</v>
      </c>
      <c r="AD24" s="281">
        <v>0.095</v>
      </c>
      <c r="AE24" s="282">
        <f>AE22-1.6/9</f>
        <v>5.288888888888892</v>
      </c>
      <c r="AF24" s="158"/>
      <c r="AG24" s="158"/>
      <c r="AH24" s="158"/>
      <c r="AI24" s="158"/>
      <c r="AJ24" s="158"/>
      <c r="AK24" s="158"/>
      <c r="AL24" s="158"/>
      <c r="AM24" s="158"/>
      <c r="AN24" s="400">
        <v>500</v>
      </c>
      <c r="AO24" s="401">
        <f t="shared" si="2"/>
        <v>21.875</v>
      </c>
      <c r="AP24" s="401">
        <f t="shared" si="3"/>
        <v>26.5625</v>
      </c>
      <c r="AQ24" s="402">
        <v>20</v>
      </c>
      <c r="AR24" s="401">
        <f t="shared" si="4"/>
        <v>18</v>
      </c>
      <c r="AS24" s="403">
        <v>16</v>
      </c>
      <c r="AT24" s="399"/>
      <c r="AU24" s="400">
        <v>500</v>
      </c>
      <c r="AV24" s="401">
        <f t="shared" si="5"/>
        <v>19.444444444444443</v>
      </c>
      <c r="AW24" s="401">
        <f t="shared" si="6"/>
        <v>23.61111111111111</v>
      </c>
      <c r="AX24" s="402">
        <v>20</v>
      </c>
      <c r="AY24" s="401">
        <f t="shared" si="7"/>
        <v>14</v>
      </c>
      <c r="AZ24" s="403">
        <v>12.5</v>
      </c>
      <c r="BA24" s="193"/>
      <c r="BB24" s="400">
        <v>500</v>
      </c>
      <c r="BC24" s="401">
        <f t="shared" si="8"/>
        <v>17.5</v>
      </c>
      <c r="BD24" s="401">
        <f t="shared" si="9"/>
        <v>21.25</v>
      </c>
      <c r="BE24" s="404">
        <v>20</v>
      </c>
      <c r="BF24" s="401">
        <f t="shared" si="10"/>
        <v>10</v>
      </c>
      <c r="BG24" s="405">
        <v>10</v>
      </c>
      <c r="BH24" s="158"/>
      <c r="BI24" s="400">
        <v>500</v>
      </c>
      <c r="BJ24" s="401">
        <f t="shared" si="11"/>
        <v>15.217391304347826</v>
      </c>
      <c r="BK24" s="401">
        <f t="shared" si="12"/>
        <v>18.47826086956522</v>
      </c>
      <c r="BL24" s="404">
        <v>16</v>
      </c>
      <c r="BM24" s="401">
        <f t="shared" si="13"/>
        <v>16.5</v>
      </c>
      <c r="BN24" s="405">
        <v>16</v>
      </c>
      <c r="BO24" s="193"/>
      <c r="BP24" s="400">
        <v>500</v>
      </c>
      <c r="BQ24" s="401">
        <f>1.4*BP24/$BP$5</f>
        <v>14</v>
      </c>
      <c r="BR24" s="401">
        <f t="shared" si="15"/>
        <v>17</v>
      </c>
      <c r="BS24" s="404">
        <v>16</v>
      </c>
      <c r="BT24" s="401">
        <f t="shared" si="16"/>
        <v>12.5</v>
      </c>
      <c r="BU24" s="405">
        <v>12.5</v>
      </c>
      <c r="BV24" s="158"/>
      <c r="BW24" s="400">
        <v>500</v>
      </c>
      <c r="BX24" s="401">
        <f t="shared" si="17"/>
        <v>12.068965517241379</v>
      </c>
      <c r="BY24" s="401">
        <f>1.7*BW24/$BW$5</f>
        <v>14.655172413793103</v>
      </c>
      <c r="BZ24" s="404">
        <v>12.5</v>
      </c>
      <c r="CA24" s="401">
        <f t="shared" si="19"/>
        <v>22</v>
      </c>
      <c r="CB24" s="405">
        <v>20</v>
      </c>
      <c r="CC24" s="158"/>
      <c r="CD24" s="400">
        <v>500</v>
      </c>
      <c r="CE24" s="401">
        <f t="shared" si="20"/>
        <v>11.11111111111111</v>
      </c>
      <c r="CF24" s="401">
        <f t="shared" si="21"/>
        <v>13.492063492063492</v>
      </c>
      <c r="CG24" s="404">
        <v>12.5</v>
      </c>
      <c r="CH24" s="401">
        <f t="shared" si="22"/>
        <v>17</v>
      </c>
      <c r="CI24" s="405">
        <v>16</v>
      </c>
      <c r="CJ24" s="158"/>
      <c r="CK24" s="400">
        <v>500</v>
      </c>
      <c r="CL24" s="401">
        <f t="shared" si="23"/>
        <v>9.58904109589041</v>
      </c>
      <c r="CM24" s="401">
        <f t="shared" si="24"/>
        <v>11.643835616438356</v>
      </c>
      <c r="CN24" s="404">
        <v>10</v>
      </c>
      <c r="CO24" s="401">
        <f t="shared" si="25"/>
        <v>27</v>
      </c>
      <c r="CP24" s="403">
        <v>25</v>
      </c>
      <c r="CQ24" s="193"/>
      <c r="CR24" s="400">
        <v>500</v>
      </c>
      <c r="CS24" s="401">
        <f t="shared" si="26"/>
        <v>8.75</v>
      </c>
      <c r="CT24" s="401">
        <f t="shared" si="27"/>
        <v>10.625</v>
      </c>
      <c r="CU24" s="404">
        <v>10</v>
      </c>
      <c r="CV24" s="401">
        <f t="shared" si="28"/>
        <v>20</v>
      </c>
      <c r="CW24" s="405">
        <v>20</v>
      </c>
      <c r="CX24" s="158"/>
    </row>
    <row r="25" spans="1:102" ht="17.25" customHeight="1">
      <c r="A25" s="395">
        <v>8</v>
      </c>
      <c r="B25" s="397" t="s">
        <v>9</v>
      </c>
      <c r="C25" s="307" t="s">
        <v>10</v>
      </c>
      <c r="D25" s="406">
        <f>60*2000*D7*D19</f>
        <v>56250000</v>
      </c>
      <c r="E25" s="264" t="s">
        <v>184</v>
      </c>
      <c r="F25" s="160"/>
      <c r="G25" s="407">
        <v>44</v>
      </c>
      <c r="H25" s="408" t="s">
        <v>163</v>
      </c>
      <c r="I25" s="409" t="s">
        <v>139</v>
      </c>
      <c r="J25" s="410">
        <f>2*D13*1000/J6</f>
        <v>923.887675</v>
      </c>
      <c r="K25" s="411" t="s">
        <v>140</v>
      </c>
      <c r="L25" s="182"/>
      <c r="M25" s="158"/>
      <c r="N25" s="228"/>
      <c r="O25" s="293">
        <v>63</v>
      </c>
      <c r="P25" s="390">
        <v>63</v>
      </c>
      <c r="Q25" s="158"/>
      <c r="R25" s="158"/>
      <c r="S25" s="158"/>
      <c r="T25" s="340"/>
      <c r="U25" s="158"/>
      <c r="V25" s="158"/>
      <c r="W25" s="295">
        <v>190</v>
      </c>
      <c r="X25" s="278">
        <v>200</v>
      </c>
      <c r="Y25" s="228"/>
      <c r="Z25" s="228"/>
      <c r="AA25" s="159"/>
      <c r="AB25" s="378">
        <v>50</v>
      </c>
      <c r="AC25" s="305">
        <v>1.45</v>
      </c>
      <c r="AD25" s="412">
        <v>0.1</v>
      </c>
      <c r="AE25" s="413">
        <v>5.2</v>
      </c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</row>
    <row r="26" spans="1:102" ht="17.25" customHeight="1">
      <c r="A26" s="395">
        <v>9</v>
      </c>
      <c r="B26" s="397" t="s">
        <v>197</v>
      </c>
      <c r="C26" s="307" t="s">
        <v>190</v>
      </c>
      <c r="D26" s="308">
        <f>IF(((10000000/D25)^(1/8))&gt;=1.15,1.15,IF(((10000000/D25)^(1/8))&lt;=0.67,0.67,(10000000/D25)^(1/8)))</f>
        <v>0.8058137693972459</v>
      </c>
      <c r="E26" s="264"/>
      <c r="F26" s="160"/>
      <c r="G26" s="395">
        <v>45</v>
      </c>
      <c r="H26" s="292" t="s">
        <v>164</v>
      </c>
      <c r="I26" s="209" t="s">
        <v>141</v>
      </c>
      <c r="J26" s="263">
        <f>2*J28*1000/J5</f>
        <v>278.52019702967993</v>
      </c>
      <c r="K26" s="264" t="s">
        <v>140</v>
      </c>
      <c r="L26" s="182"/>
      <c r="M26" s="158"/>
      <c r="N26" s="228"/>
      <c r="O26" s="267">
        <v>71</v>
      </c>
      <c r="P26" s="377">
        <v>73</v>
      </c>
      <c r="Q26" s="158"/>
      <c r="R26" s="158"/>
      <c r="S26" s="158"/>
      <c r="T26" s="340"/>
      <c r="U26" s="158"/>
      <c r="V26" s="158"/>
      <c r="W26" s="293">
        <v>200</v>
      </c>
      <c r="X26" s="278">
        <v>200</v>
      </c>
      <c r="Y26" s="228"/>
      <c r="Z26" s="228"/>
      <c r="AA26" s="159"/>
      <c r="AB26" s="366">
        <v>51</v>
      </c>
      <c r="AC26" s="280">
        <f>AC25-0.05/10</f>
        <v>1.445</v>
      </c>
      <c r="AD26" s="414">
        <v>0.11</v>
      </c>
      <c r="AE26" s="415">
        <f>AE25-0.9/15</f>
        <v>5.140000000000001</v>
      </c>
      <c r="AF26" s="158"/>
      <c r="AG26" s="158"/>
      <c r="AH26" s="158"/>
      <c r="AI26" s="158"/>
      <c r="AJ26" s="158"/>
      <c r="AK26" s="158"/>
      <c r="AL26" s="158"/>
      <c r="AM26" s="158"/>
      <c r="AN26" s="340"/>
      <c r="AO26" s="416"/>
      <c r="AP26" s="340"/>
      <c r="AQ26" s="340"/>
      <c r="AR26" s="340"/>
      <c r="AS26" s="340"/>
      <c r="AT26" s="340"/>
      <c r="AU26" s="182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</row>
    <row r="27" spans="1:102" ht="17.25" customHeight="1" thickBot="1">
      <c r="A27" s="395">
        <v>10</v>
      </c>
      <c r="B27" s="397" t="s">
        <v>198</v>
      </c>
      <c r="C27" s="307" t="s">
        <v>191</v>
      </c>
      <c r="D27" s="308">
        <f>IF(((1000000/D25)^(1/9))&gt;=1,1,IF(((1000000/D25)^(1/9))&lt;=0.54,0.54,(1000000/D25)^(1/9)))</f>
        <v>0.6390604508645541</v>
      </c>
      <c r="E27" s="264"/>
      <c r="F27" s="160"/>
      <c r="G27" s="395">
        <v>46</v>
      </c>
      <c r="H27" s="397" t="s">
        <v>188</v>
      </c>
      <c r="I27" s="209" t="s">
        <v>189</v>
      </c>
      <c r="J27" s="263">
        <f>J25*TAN(20/180*PI())</f>
        <v>336.267613505407</v>
      </c>
      <c r="K27" s="264" t="s">
        <v>140</v>
      </c>
      <c r="L27" s="182"/>
      <c r="M27" s="158"/>
      <c r="N27" s="228"/>
      <c r="O27" s="417">
        <v>80</v>
      </c>
      <c r="P27" s="418">
        <v>80</v>
      </c>
      <c r="Q27" s="158"/>
      <c r="R27" s="158"/>
      <c r="S27" s="158"/>
      <c r="T27" s="340"/>
      <c r="U27" s="158"/>
      <c r="V27" s="158"/>
      <c r="W27" s="295">
        <v>212.5</v>
      </c>
      <c r="X27" s="278">
        <v>225</v>
      </c>
      <c r="Y27" s="228"/>
      <c r="Z27" s="228"/>
      <c r="AA27" s="159"/>
      <c r="AB27" s="366">
        <v>52</v>
      </c>
      <c r="AC27" s="280">
        <f aca="true" t="shared" si="29" ref="AC27:AC34">AC26-0.05/10</f>
        <v>1.4400000000000002</v>
      </c>
      <c r="AD27" s="414">
        <v>0.12</v>
      </c>
      <c r="AE27" s="415">
        <f aca="true" t="shared" si="30" ref="AE27:AE39">AE26-0.9/15</f>
        <v>5.080000000000001</v>
      </c>
      <c r="AF27" s="158"/>
      <c r="AG27" s="158"/>
      <c r="AH27" s="158"/>
      <c r="AI27" s="158"/>
      <c r="AJ27" s="158"/>
      <c r="AK27" s="158"/>
      <c r="AL27" s="158"/>
      <c r="AM27" s="158"/>
      <c r="AN27" s="416"/>
      <c r="AO27" s="416"/>
      <c r="AP27" s="340"/>
      <c r="AQ27" s="340"/>
      <c r="AR27" s="340"/>
      <c r="AS27" s="340"/>
      <c r="AT27" s="340"/>
      <c r="AU27" s="182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</row>
    <row r="28" spans="1:102" ht="17.25" customHeight="1">
      <c r="A28" s="419">
        <v>11</v>
      </c>
      <c r="B28" s="348" t="s">
        <v>20</v>
      </c>
      <c r="C28" s="318" t="s">
        <v>192</v>
      </c>
      <c r="D28" s="420">
        <f>INDEX(R7:R18,Q5)</f>
        <v>390</v>
      </c>
      <c r="E28" s="320" t="s">
        <v>22</v>
      </c>
      <c r="F28" s="160"/>
      <c r="G28" s="421">
        <v>47</v>
      </c>
      <c r="H28" s="292" t="s">
        <v>142</v>
      </c>
      <c r="I28" s="422" t="s">
        <v>143</v>
      </c>
      <c r="J28" s="423">
        <f>D13/D18/(J24/100)</f>
        <v>2.7852019702967996</v>
      </c>
      <c r="K28" s="424" t="s">
        <v>12</v>
      </c>
      <c r="L28" s="182"/>
      <c r="M28" s="158"/>
      <c r="N28" s="228"/>
      <c r="O28" s="228"/>
      <c r="P28" s="228"/>
      <c r="Q28" s="158"/>
      <c r="R28" s="158"/>
      <c r="S28" s="158"/>
      <c r="T28" s="340"/>
      <c r="U28" s="158"/>
      <c r="V28" s="158"/>
      <c r="W28" s="293">
        <v>225</v>
      </c>
      <c r="X28" s="278">
        <v>225</v>
      </c>
      <c r="Y28" s="228"/>
      <c r="Z28" s="228"/>
      <c r="AA28" s="159"/>
      <c r="AB28" s="366">
        <v>53</v>
      </c>
      <c r="AC28" s="280">
        <f t="shared" si="29"/>
        <v>1.4350000000000003</v>
      </c>
      <c r="AD28" s="414">
        <v>0.13</v>
      </c>
      <c r="AE28" s="415">
        <f t="shared" si="30"/>
        <v>5.020000000000001</v>
      </c>
      <c r="AF28" s="158"/>
      <c r="AG28" s="158"/>
      <c r="AH28" s="158"/>
      <c r="AI28" s="158"/>
      <c r="AJ28" s="158"/>
      <c r="AK28" s="158"/>
      <c r="AL28" s="158"/>
      <c r="AM28" s="158"/>
      <c r="AN28" s="340"/>
      <c r="AO28" s="340"/>
      <c r="AP28" s="425"/>
      <c r="AQ28" s="425"/>
      <c r="AR28" s="425"/>
      <c r="AS28" s="425"/>
      <c r="AT28" s="425"/>
      <c r="AU28" s="182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</row>
    <row r="29" spans="1:102" ht="17.25" customHeight="1" thickBot="1">
      <c r="A29" s="419">
        <v>12</v>
      </c>
      <c r="B29" s="348" t="s">
        <v>21</v>
      </c>
      <c r="C29" s="318" t="s">
        <v>193</v>
      </c>
      <c r="D29" s="420">
        <f>INDEX(S7:S18,Q5)</f>
        <v>195</v>
      </c>
      <c r="E29" s="320" t="s">
        <v>22</v>
      </c>
      <c r="F29" s="160"/>
      <c r="G29" s="210">
        <v>48</v>
      </c>
      <c r="H29" s="211" t="s">
        <v>205</v>
      </c>
      <c r="I29" s="426" t="s">
        <v>206</v>
      </c>
      <c r="J29" s="427">
        <f>J28*PI()*D12/30/1000</f>
        <v>0.4374985024324121</v>
      </c>
      <c r="K29" s="214" t="s">
        <v>207</v>
      </c>
      <c r="L29" s="182"/>
      <c r="M29" s="158"/>
      <c r="N29" s="228"/>
      <c r="O29" s="228"/>
      <c r="P29" s="228"/>
      <c r="Q29" s="158"/>
      <c r="R29" s="158"/>
      <c r="S29" s="158"/>
      <c r="T29" s="340"/>
      <c r="U29" s="158"/>
      <c r="V29" s="158"/>
      <c r="W29" s="295">
        <v>237.5</v>
      </c>
      <c r="X29" s="278">
        <v>250</v>
      </c>
      <c r="Y29" s="228"/>
      <c r="Z29" s="228"/>
      <c r="AA29" s="159"/>
      <c r="AB29" s="366">
        <v>54</v>
      </c>
      <c r="AC29" s="280">
        <f t="shared" si="29"/>
        <v>1.4300000000000004</v>
      </c>
      <c r="AD29" s="414">
        <v>0.14</v>
      </c>
      <c r="AE29" s="415">
        <f t="shared" si="30"/>
        <v>4.960000000000002</v>
      </c>
      <c r="AF29" s="158"/>
      <c r="AG29" s="158"/>
      <c r="AH29" s="158"/>
      <c r="AI29" s="158"/>
      <c r="AJ29" s="158"/>
      <c r="AK29" s="158"/>
      <c r="AL29" s="158"/>
      <c r="AM29" s="158"/>
      <c r="AN29" s="340"/>
      <c r="AO29" s="340"/>
      <c r="AP29" s="425"/>
      <c r="AQ29" s="425"/>
      <c r="AR29" s="425"/>
      <c r="AS29" s="425"/>
      <c r="AT29" s="425"/>
      <c r="AU29" s="182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</row>
    <row r="30" spans="1:102" ht="17.25" customHeight="1" thickBot="1">
      <c r="A30" s="210">
        <v>13</v>
      </c>
      <c r="B30" s="428" t="s">
        <v>239</v>
      </c>
      <c r="C30" s="429" t="s">
        <v>208</v>
      </c>
      <c r="D30" s="332">
        <f>IF(OR(Q5=1,Q5=2,Q5=3,Q5=4,Q5=5),0.9*D28*D24*D26,IF(OR(Q5=6,Q5=7,Q5=8),300-25*D23,200-35*D23))</f>
        <v>243.79130490440605</v>
      </c>
      <c r="E30" s="214" t="s">
        <v>22</v>
      </c>
      <c r="F30" s="160"/>
      <c r="G30" s="162">
        <v>49</v>
      </c>
      <c r="H30" s="163" t="s">
        <v>47</v>
      </c>
      <c r="I30" s="430" t="s">
        <v>150</v>
      </c>
      <c r="J30" s="431">
        <f>D37*D35</f>
        <v>20</v>
      </c>
      <c r="K30" s="198" t="s">
        <v>36</v>
      </c>
      <c r="L30" s="182"/>
      <c r="M30" s="158"/>
      <c r="N30" s="228"/>
      <c r="O30" s="228"/>
      <c r="P30" s="228"/>
      <c r="Q30" s="158"/>
      <c r="R30" s="158"/>
      <c r="S30" s="158"/>
      <c r="T30" s="340"/>
      <c r="U30" s="158"/>
      <c r="V30" s="158"/>
      <c r="W30" s="293">
        <v>250</v>
      </c>
      <c r="X30" s="278">
        <v>250</v>
      </c>
      <c r="Y30" s="228"/>
      <c r="Z30" s="228"/>
      <c r="AA30" s="159"/>
      <c r="AB30" s="366">
        <v>55</v>
      </c>
      <c r="AC30" s="280">
        <f t="shared" si="29"/>
        <v>1.4250000000000005</v>
      </c>
      <c r="AD30" s="414">
        <v>0.15</v>
      </c>
      <c r="AE30" s="415">
        <f t="shared" si="30"/>
        <v>4.900000000000002</v>
      </c>
      <c r="AF30" s="158"/>
      <c r="AG30" s="158"/>
      <c r="AH30" s="158"/>
      <c r="AI30" s="158"/>
      <c r="AJ30" s="158"/>
      <c r="AK30" s="158"/>
      <c r="AL30" s="158"/>
      <c r="AM30" s="158"/>
      <c r="AN30" s="340"/>
      <c r="AO30" s="340"/>
      <c r="AP30" s="425"/>
      <c r="AQ30" s="425"/>
      <c r="AR30" s="425"/>
      <c r="AS30" s="425"/>
      <c r="AT30" s="425"/>
      <c r="AU30" s="182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</row>
    <row r="31" spans="1:102" ht="17.25" customHeight="1">
      <c r="A31" s="336">
        <v>14</v>
      </c>
      <c r="B31" s="432" t="s">
        <v>35</v>
      </c>
      <c r="C31" s="433" t="s">
        <v>37</v>
      </c>
      <c r="D31" s="394">
        <f>610*(D13/D30^2)^(1/3)</f>
        <v>52.06478531922645</v>
      </c>
      <c r="E31" s="186" t="s">
        <v>36</v>
      </c>
      <c r="F31" s="160"/>
      <c r="G31" s="316">
        <v>50</v>
      </c>
      <c r="H31" s="317" t="s">
        <v>43</v>
      </c>
      <c r="I31" s="434" t="s">
        <v>151</v>
      </c>
      <c r="J31" s="435">
        <f>J30+2*D35</f>
        <v>25</v>
      </c>
      <c r="K31" s="320" t="s">
        <v>36</v>
      </c>
      <c r="L31" s="340"/>
      <c r="M31" s="436"/>
      <c r="N31" s="228"/>
      <c r="O31" s="228"/>
      <c r="P31" s="228"/>
      <c r="Q31" s="158"/>
      <c r="R31" s="158"/>
      <c r="S31" s="196"/>
      <c r="T31" s="340"/>
      <c r="U31" s="158"/>
      <c r="V31" s="158"/>
      <c r="W31" s="295">
        <v>265</v>
      </c>
      <c r="X31" s="278">
        <v>280</v>
      </c>
      <c r="Y31" s="228"/>
      <c r="Z31" s="228"/>
      <c r="AA31" s="159"/>
      <c r="AB31" s="366">
        <v>56</v>
      </c>
      <c r="AC31" s="280">
        <f t="shared" si="29"/>
        <v>1.4200000000000006</v>
      </c>
      <c r="AD31" s="414">
        <v>0.16</v>
      </c>
      <c r="AE31" s="415">
        <f t="shared" si="30"/>
        <v>4.8400000000000025</v>
      </c>
      <c r="AF31" s="158"/>
      <c r="AG31" s="158"/>
      <c r="AH31" s="158"/>
      <c r="AI31" s="158"/>
      <c r="AJ31" s="158"/>
      <c r="AK31" s="158"/>
      <c r="AL31" s="158"/>
      <c r="AM31" s="158"/>
      <c r="AN31" s="340"/>
      <c r="AO31" s="340"/>
      <c r="AP31" s="437"/>
      <c r="AQ31" s="437"/>
      <c r="AR31" s="437"/>
      <c r="AS31" s="437"/>
      <c r="AT31" s="437"/>
      <c r="AU31" s="182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</row>
    <row r="32" spans="1:102" ht="17.25" customHeight="1" thickBot="1">
      <c r="A32" s="438">
        <v>15</v>
      </c>
      <c r="B32" s="439" t="s">
        <v>38</v>
      </c>
      <c r="C32" s="440" t="s">
        <v>121</v>
      </c>
      <c r="D32" s="441">
        <f>LOOKUP(D31,W7:W42,X7:X42)</f>
        <v>50</v>
      </c>
      <c r="E32" s="364" t="s">
        <v>36</v>
      </c>
      <c r="F32" s="160"/>
      <c r="G32" s="316">
        <v>51</v>
      </c>
      <c r="H32" s="317" t="s">
        <v>50</v>
      </c>
      <c r="I32" s="434" t="s">
        <v>152</v>
      </c>
      <c r="J32" s="435">
        <f>J30-2.4*D35</f>
        <v>14</v>
      </c>
      <c r="K32" s="320" t="s">
        <v>36</v>
      </c>
      <c r="L32" s="340"/>
      <c r="M32" s="340"/>
      <c r="N32" s="340"/>
      <c r="O32" s="340"/>
      <c r="P32" s="340"/>
      <c r="Q32" s="158"/>
      <c r="R32" s="158"/>
      <c r="S32" s="196"/>
      <c r="T32" s="340"/>
      <c r="U32" s="158"/>
      <c r="V32" s="158"/>
      <c r="W32" s="293">
        <v>280</v>
      </c>
      <c r="X32" s="278">
        <v>280</v>
      </c>
      <c r="Y32" s="228"/>
      <c r="Z32" s="228"/>
      <c r="AA32" s="159"/>
      <c r="AB32" s="366">
        <v>57</v>
      </c>
      <c r="AC32" s="280">
        <f t="shared" si="29"/>
        <v>1.4150000000000007</v>
      </c>
      <c r="AD32" s="414">
        <v>0.17</v>
      </c>
      <c r="AE32" s="415">
        <f t="shared" si="30"/>
        <v>4.780000000000003</v>
      </c>
      <c r="AF32" s="158"/>
      <c r="AG32" s="158"/>
      <c r="AH32" s="158"/>
      <c r="AI32" s="158"/>
      <c r="AJ32" s="158"/>
      <c r="AK32" s="158"/>
      <c r="AL32" s="158"/>
      <c r="AM32" s="158"/>
      <c r="AN32" s="340"/>
      <c r="AO32" s="340"/>
      <c r="AP32" s="437"/>
      <c r="AQ32" s="437"/>
      <c r="AR32" s="437"/>
      <c r="AS32" s="437"/>
      <c r="AT32" s="437"/>
      <c r="AU32" s="182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</row>
    <row r="33" spans="1:102" ht="17.25" customHeight="1">
      <c r="A33" s="336">
        <v>16</v>
      </c>
      <c r="B33" s="185" t="s">
        <v>112</v>
      </c>
      <c r="C33" s="337" t="s">
        <v>115</v>
      </c>
      <c r="D33" s="442">
        <f>1.4*D32/D21</f>
        <v>2.1875</v>
      </c>
      <c r="E33" s="186" t="s">
        <v>36</v>
      </c>
      <c r="F33" s="160"/>
      <c r="G33" s="316">
        <v>52</v>
      </c>
      <c r="H33" s="317" t="s">
        <v>165</v>
      </c>
      <c r="I33" s="434" t="s">
        <v>153</v>
      </c>
      <c r="J33" s="443">
        <f>IF(AND(OR(D20=1,D20=2),AND(D38&gt;-1,D38&lt;=-0.5)),(8+0.06*D21)*D35)+IF(AND(OR(D20=1,D20=2),AND(D38&gt;-0.5,D38&lt;=0)),(11+0.06*D21)*D35)+IF(AND(OR(D20=1,D20=2),AND(D38&gt;0,D38&lt;=0.5)),(11+0.1*D21)*D35)+IF(AND(OR(D20=1,D20=2),AND(D38&gt;0.5,D38&lt;=1)),(12+0.1*D21)*D35)+IF(AND(D20=4,AND(D38&gt;-1,D38&lt;=-0.5)),(9.5+0.09*D21)*D35)+IF(AND(D20=4,AND(D38&gt;-0.5,D38&lt;=0)),(12.5+0.09*D21)*D35)+IF(AND(D20=4,AND(D38&gt;0,D38&lt;=0.5)),(12.5+0.1*D21)*D35)+IF(AND(D20=4,AND(D38&gt;0.5,D38&lt;=1)),(13+0.1*D21)*D35)</f>
        <v>32.3</v>
      </c>
      <c r="K33" s="320" t="s">
        <v>36</v>
      </c>
      <c r="L33" s="340"/>
      <c r="M33" s="340"/>
      <c r="N33" s="340"/>
      <c r="O33" s="340"/>
      <c r="P33" s="340"/>
      <c r="Q33" s="158"/>
      <c r="R33" s="158"/>
      <c r="S33" s="196"/>
      <c r="T33" s="340"/>
      <c r="U33" s="158"/>
      <c r="V33" s="158"/>
      <c r="W33" s="295">
        <v>297.5</v>
      </c>
      <c r="X33" s="278">
        <v>315</v>
      </c>
      <c r="Y33" s="228"/>
      <c r="Z33" s="228"/>
      <c r="AA33" s="159"/>
      <c r="AB33" s="366">
        <v>58</v>
      </c>
      <c r="AC33" s="280">
        <f t="shared" si="29"/>
        <v>1.4100000000000008</v>
      </c>
      <c r="AD33" s="414">
        <v>0.18</v>
      </c>
      <c r="AE33" s="415">
        <f t="shared" si="30"/>
        <v>4.720000000000003</v>
      </c>
      <c r="AF33" s="158"/>
      <c r="AG33" s="158"/>
      <c r="AH33" s="158"/>
      <c r="AI33" s="158"/>
      <c r="AJ33" s="158"/>
      <c r="AK33" s="158"/>
      <c r="AL33" s="158"/>
      <c r="AM33" s="158"/>
      <c r="AN33" s="340"/>
      <c r="AO33" s="340"/>
      <c r="AP33" s="437"/>
      <c r="AQ33" s="437"/>
      <c r="AR33" s="437"/>
      <c r="AS33" s="437"/>
      <c r="AT33" s="437"/>
      <c r="AU33" s="182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</row>
    <row r="34" spans="1:102" ht="17.25" customHeight="1">
      <c r="A34" s="395">
        <v>17</v>
      </c>
      <c r="B34" s="209" t="s">
        <v>113</v>
      </c>
      <c r="C34" s="226" t="s">
        <v>114</v>
      </c>
      <c r="D34" s="308">
        <f>1.7*D32/D21</f>
        <v>2.65625</v>
      </c>
      <c r="E34" s="264" t="s">
        <v>36</v>
      </c>
      <c r="F34" s="160"/>
      <c r="G34" s="316">
        <v>53</v>
      </c>
      <c r="H34" s="317" t="s">
        <v>154</v>
      </c>
      <c r="I34" s="434" t="s">
        <v>155</v>
      </c>
      <c r="J34" s="443">
        <f>D35*(D21+2+2*D38)</f>
        <v>85</v>
      </c>
      <c r="K34" s="320" t="s">
        <v>36</v>
      </c>
      <c r="L34" s="340"/>
      <c r="M34" s="436"/>
      <c r="N34" s="436"/>
      <c r="O34" s="436"/>
      <c r="P34" s="436"/>
      <c r="Q34" s="158"/>
      <c r="R34" s="158"/>
      <c r="S34" s="196"/>
      <c r="T34" s="158"/>
      <c r="U34" s="158"/>
      <c r="V34" s="158"/>
      <c r="W34" s="293">
        <v>315</v>
      </c>
      <c r="X34" s="278">
        <v>315</v>
      </c>
      <c r="Y34" s="228"/>
      <c r="Z34" s="228"/>
      <c r="AA34" s="159"/>
      <c r="AB34" s="366">
        <v>59</v>
      </c>
      <c r="AC34" s="280">
        <f t="shared" si="29"/>
        <v>1.405000000000001</v>
      </c>
      <c r="AD34" s="414">
        <v>0.19</v>
      </c>
      <c r="AE34" s="415">
        <f t="shared" si="30"/>
        <v>4.660000000000004</v>
      </c>
      <c r="AF34" s="158"/>
      <c r="AG34" s="158"/>
      <c r="AH34" s="158"/>
      <c r="AI34" s="158"/>
      <c r="AJ34" s="158"/>
      <c r="AK34" s="158"/>
      <c r="AL34" s="158"/>
      <c r="AM34" s="158"/>
      <c r="AN34" s="340"/>
      <c r="AO34" s="340"/>
      <c r="AP34" s="437"/>
      <c r="AQ34" s="437"/>
      <c r="AR34" s="437"/>
      <c r="AS34" s="437"/>
      <c r="AT34" s="437"/>
      <c r="AU34" s="182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</row>
    <row r="35" spans="1:102" ht="17.25" customHeight="1" thickBot="1">
      <c r="A35" s="444">
        <v>18</v>
      </c>
      <c r="B35" s="257" t="s">
        <v>41</v>
      </c>
      <c r="C35" s="258" t="s">
        <v>25</v>
      </c>
      <c r="D35" s="445">
        <f>LOOKUP(D34,Y7:Y21,Y7:Y21)</f>
        <v>2.5</v>
      </c>
      <c r="E35" s="446" t="s">
        <v>36</v>
      </c>
      <c r="F35" s="160"/>
      <c r="G35" s="316">
        <v>54</v>
      </c>
      <c r="H35" s="317" t="s">
        <v>156</v>
      </c>
      <c r="I35" s="434" t="s">
        <v>157</v>
      </c>
      <c r="J35" s="443">
        <f>D35*(D21-2.4+2*D38)</f>
        <v>74</v>
      </c>
      <c r="K35" s="320" t="s">
        <v>36</v>
      </c>
      <c r="L35" s="340"/>
      <c r="M35" s="340"/>
      <c r="N35" s="340"/>
      <c r="O35" s="340"/>
      <c r="P35" s="340"/>
      <c r="Q35" s="158"/>
      <c r="R35" s="158"/>
      <c r="S35" s="196"/>
      <c r="T35" s="158"/>
      <c r="U35" s="158"/>
      <c r="V35" s="158"/>
      <c r="W35" s="295">
        <v>335</v>
      </c>
      <c r="X35" s="278">
        <v>355</v>
      </c>
      <c r="Y35" s="228"/>
      <c r="Z35" s="228"/>
      <c r="AA35" s="159"/>
      <c r="AB35" s="378">
        <v>60</v>
      </c>
      <c r="AC35" s="305">
        <v>1.4</v>
      </c>
      <c r="AD35" s="414">
        <v>0.2</v>
      </c>
      <c r="AE35" s="415">
        <f t="shared" si="30"/>
        <v>4.600000000000004</v>
      </c>
      <c r="AF35" s="158"/>
      <c r="AG35" s="158"/>
      <c r="AH35" s="158"/>
      <c r="AI35" s="158"/>
      <c r="AJ35" s="158"/>
      <c r="AK35" s="158"/>
      <c r="AL35" s="158"/>
      <c r="AM35" s="158"/>
      <c r="AN35" s="340"/>
      <c r="AO35" s="340"/>
      <c r="AP35" s="437"/>
      <c r="AQ35" s="437"/>
      <c r="AR35" s="437"/>
      <c r="AS35" s="437"/>
      <c r="AT35" s="437"/>
      <c r="AU35" s="182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</row>
    <row r="36" spans="1:102" ht="17.25" customHeight="1">
      <c r="A36" s="336">
        <v>19</v>
      </c>
      <c r="B36" s="392" t="s">
        <v>283</v>
      </c>
      <c r="C36" s="337" t="s">
        <v>116</v>
      </c>
      <c r="D36" s="442">
        <f>(2*D32-D35*D21)/D35</f>
        <v>8</v>
      </c>
      <c r="E36" s="186"/>
      <c r="F36" s="158"/>
      <c r="G36" s="316">
        <v>55</v>
      </c>
      <c r="H36" s="317" t="s">
        <v>82</v>
      </c>
      <c r="I36" s="434" t="s">
        <v>158</v>
      </c>
      <c r="J36" s="443">
        <f>J34+6*D35/(D20+2)</f>
        <v>88.75</v>
      </c>
      <c r="K36" s="320" t="s">
        <v>36</v>
      </c>
      <c r="L36" s="182"/>
      <c r="M36" s="158"/>
      <c r="N36" s="436"/>
      <c r="O36" s="436"/>
      <c r="P36" s="436"/>
      <c r="Q36" s="158"/>
      <c r="R36" s="158"/>
      <c r="S36" s="196"/>
      <c r="T36" s="158"/>
      <c r="U36" s="158"/>
      <c r="V36" s="158"/>
      <c r="W36" s="293">
        <v>355</v>
      </c>
      <c r="X36" s="278">
        <v>355</v>
      </c>
      <c r="Y36" s="228"/>
      <c r="Z36" s="228"/>
      <c r="AA36" s="159"/>
      <c r="AB36" s="366">
        <v>61</v>
      </c>
      <c r="AC36" s="280">
        <f>AC35-0.06/20</f>
        <v>1.397</v>
      </c>
      <c r="AD36" s="414">
        <v>0.21</v>
      </c>
      <c r="AE36" s="415">
        <f t="shared" si="30"/>
        <v>4.5400000000000045</v>
      </c>
      <c r="AF36" s="182"/>
      <c r="AG36" s="158"/>
      <c r="AH36" s="158"/>
      <c r="AI36" s="158"/>
      <c r="AJ36" s="158"/>
      <c r="AK36" s="158"/>
      <c r="AL36" s="158"/>
      <c r="AM36" s="158"/>
      <c r="AN36" s="340"/>
      <c r="AO36" s="340"/>
      <c r="AP36" s="437"/>
      <c r="AQ36" s="437"/>
      <c r="AR36" s="437"/>
      <c r="AS36" s="437"/>
      <c r="AT36" s="437"/>
      <c r="AU36" s="182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</row>
    <row r="37" spans="1:102" ht="17.25" customHeight="1" thickBot="1">
      <c r="A37" s="438">
        <v>20</v>
      </c>
      <c r="B37" s="447" t="s">
        <v>240</v>
      </c>
      <c r="C37" s="258" t="s">
        <v>26</v>
      </c>
      <c r="D37" s="448">
        <f>LOOKUP(D36,Z7:Z18,AA7:AA18)</f>
        <v>8</v>
      </c>
      <c r="E37" s="364"/>
      <c r="F37" s="158"/>
      <c r="G37" s="316">
        <v>56</v>
      </c>
      <c r="H37" s="317" t="s">
        <v>223</v>
      </c>
      <c r="I37" s="434" t="s">
        <v>159</v>
      </c>
      <c r="J37" s="443">
        <f>IF(OR(D20=1,D20=2),0.75*J31,0.67*J31)</f>
        <v>18.75</v>
      </c>
      <c r="K37" s="320" t="s">
        <v>36</v>
      </c>
      <c r="L37" s="182"/>
      <c r="M37" s="158"/>
      <c r="N37" s="436"/>
      <c r="O37" s="436"/>
      <c r="P37" s="436"/>
      <c r="Q37" s="158"/>
      <c r="R37" s="158"/>
      <c r="S37" s="196"/>
      <c r="T37" s="158"/>
      <c r="U37" s="158"/>
      <c r="V37" s="158"/>
      <c r="W37" s="295">
        <v>377.5</v>
      </c>
      <c r="X37" s="278">
        <v>400</v>
      </c>
      <c r="Y37" s="228"/>
      <c r="Z37" s="228"/>
      <c r="AA37" s="159"/>
      <c r="AB37" s="366">
        <v>62</v>
      </c>
      <c r="AC37" s="280">
        <f aca="true" t="shared" si="31" ref="AC37:AC54">AC36-0.06/20</f>
        <v>1.3940000000000001</v>
      </c>
      <c r="AD37" s="414">
        <v>0.22</v>
      </c>
      <c r="AE37" s="415">
        <f t="shared" si="30"/>
        <v>4.480000000000005</v>
      </c>
      <c r="AF37" s="182"/>
      <c r="AG37" s="158"/>
      <c r="AH37" s="158"/>
      <c r="AI37" s="182"/>
      <c r="AJ37" s="182"/>
      <c r="AK37" s="182"/>
      <c r="AL37" s="182"/>
      <c r="AM37" s="158"/>
      <c r="AN37" s="340"/>
      <c r="AO37" s="340"/>
      <c r="AP37" s="437"/>
      <c r="AQ37" s="437"/>
      <c r="AR37" s="437"/>
      <c r="AS37" s="437"/>
      <c r="AT37" s="437"/>
      <c r="AU37" s="182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</row>
    <row r="38" spans="1:102" ht="17.25" customHeight="1" thickBot="1">
      <c r="A38" s="449">
        <v>21</v>
      </c>
      <c r="B38" s="450" t="s">
        <v>241</v>
      </c>
      <c r="C38" s="451" t="s">
        <v>55</v>
      </c>
      <c r="D38" s="452">
        <f>(D32-0.5*D35*(D21+D37))/D35</f>
        <v>0</v>
      </c>
      <c r="E38" s="453"/>
      <c r="F38" s="158"/>
      <c r="G38" s="177">
        <v>57</v>
      </c>
      <c r="H38" s="361" t="s">
        <v>227</v>
      </c>
      <c r="I38" s="179" t="s">
        <v>226</v>
      </c>
      <c r="J38" s="363">
        <f>2*ASIN(J37/(J31-D35/2))/PI()*180</f>
        <v>104.2727072765393</v>
      </c>
      <c r="K38" s="181" t="s">
        <v>122</v>
      </c>
      <c r="L38" s="182"/>
      <c r="M38" s="158"/>
      <c r="N38" s="436"/>
      <c r="O38" s="436"/>
      <c r="P38" s="436"/>
      <c r="Q38" s="158"/>
      <c r="R38" s="158"/>
      <c r="S38" s="196"/>
      <c r="T38" s="158"/>
      <c r="U38" s="158"/>
      <c r="V38" s="158"/>
      <c r="W38" s="293">
        <v>400</v>
      </c>
      <c r="X38" s="278">
        <v>400</v>
      </c>
      <c r="Y38" s="228"/>
      <c r="Z38" s="228"/>
      <c r="AA38" s="454"/>
      <c r="AB38" s="366">
        <v>63</v>
      </c>
      <c r="AC38" s="280">
        <f t="shared" si="31"/>
        <v>1.3910000000000002</v>
      </c>
      <c r="AD38" s="414">
        <v>0.23</v>
      </c>
      <c r="AE38" s="415">
        <f t="shared" si="30"/>
        <v>4.420000000000005</v>
      </c>
      <c r="AF38" s="182"/>
      <c r="AG38" s="182"/>
      <c r="AH38" s="182"/>
      <c r="AI38" s="182"/>
      <c r="AJ38" s="182"/>
      <c r="AK38" s="182"/>
      <c r="AL38" s="182"/>
      <c r="AM38" s="158"/>
      <c r="AN38" s="340"/>
      <c r="AO38" s="340"/>
      <c r="AP38" s="437"/>
      <c r="AQ38" s="437"/>
      <c r="AR38" s="437"/>
      <c r="AS38" s="437"/>
      <c r="AT38" s="437"/>
      <c r="AU38" s="182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</row>
    <row r="39" spans="1:102" ht="17.25" customHeight="1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82"/>
      <c r="M39" s="158"/>
      <c r="N39" s="436"/>
      <c r="O39" s="436"/>
      <c r="P39" s="436"/>
      <c r="Q39" s="158"/>
      <c r="R39" s="158"/>
      <c r="S39" s="196"/>
      <c r="T39" s="455"/>
      <c r="U39" s="455"/>
      <c r="V39" s="455"/>
      <c r="W39" s="295">
        <v>425</v>
      </c>
      <c r="X39" s="278">
        <v>450</v>
      </c>
      <c r="Y39" s="228"/>
      <c r="Z39" s="455"/>
      <c r="AA39" s="454"/>
      <c r="AB39" s="366">
        <v>64</v>
      </c>
      <c r="AC39" s="280">
        <f t="shared" si="31"/>
        <v>1.3880000000000003</v>
      </c>
      <c r="AD39" s="414">
        <v>0.24</v>
      </c>
      <c r="AE39" s="415">
        <f t="shared" si="30"/>
        <v>4.360000000000006</v>
      </c>
      <c r="AF39" s="455"/>
      <c r="AG39" s="455"/>
      <c r="AH39" s="455"/>
      <c r="AI39" s="455"/>
      <c r="AJ39" s="455"/>
      <c r="AK39" s="455"/>
      <c r="AL39" s="455"/>
      <c r="AM39" s="158"/>
      <c r="AN39" s="340"/>
      <c r="AO39" s="340"/>
      <c r="AP39" s="437"/>
      <c r="AQ39" s="437"/>
      <c r="AR39" s="437"/>
      <c r="AS39" s="437"/>
      <c r="AT39" s="437"/>
      <c r="AU39" s="182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</row>
    <row r="40" spans="1:102" ht="17.25" customHeight="1">
      <c r="A40" s="158"/>
      <c r="B40" s="159"/>
      <c r="C40" s="159"/>
      <c r="D40" s="159"/>
      <c r="E40" s="158"/>
      <c r="F40" s="158"/>
      <c r="G40" s="158"/>
      <c r="H40" s="456"/>
      <c r="I40" s="456"/>
      <c r="J40" s="456"/>
      <c r="K40" s="456"/>
      <c r="L40" s="182"/>
      <c r="M40" s="158"/>
      <c r="N40" s="436"/>
      <c r="O40" s="436"/>
      <c r="P40" s="436"/>
      <c r="Q40" s="158"/>
      <c r="R40" s="158"/>
      <c r="S40" s="158"/>
      <c r="T40" s="455"/>
      <c r="U40" s="455"/>
      <c r="V40" s="454"/>
      <c r="W40" s="293">
        <v>450</v>
      </c>
      <c r="X40" s="278">
        <v>450</v>
      </c>
      <c r="Y40" s="228"/>
      <c r="Z40" s="158"/>
      <c r="AA40" s="160"/>
      <c r="AB40" s="366">
        <v>65</v>
      </c>
      <c r="AC40" s="280">
        <f t="shared" si="31"/>
        <v>1.3850000000000005</v>
      </c>
      <c r="AD40" s="412">
        <v>0.25</v>
      </c>
      <c r="AE40" s="413">
        <v>4.3</v>
      </c>
      <c r="AF40" s="455"/>
      <c r="AG40" s="455"/>
      <c r="AH40" s="455"/>
      <c r="AI40" s="455"/>
      <c r="AJ40" s="455"/>
      <c r="AK40" s="455"/>
      <c r="AL40" s="158"/>
      <c r="AM40" s="158"/>
      <c r="AN40" s="340"/>
      <c r="AO40" s="340"/>
      <c r="AP40" s="425"/>
      <c r="AQ40" s="425"/>
      <c r="AR40" s="425"/>
      <c r="AS40" s="425"/>
      <c r="AT40" s="425"/>
      <c r="AU40" s="182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</row>
    <row r="41" spans="1:102" ht="17.25" customHeight="1">
      <c r="A41" s="158"/>
      <c r="B41" s="158"/>
      <c r="C41" s="158"/>
      <c r="D41" s="158"/>
      <c r="E41" s="158"/>
      <c r="F41" s="158"/>
      <c r="G41" s="158"/>
      <c r="H41" s="457"/>
      <c r="I41" s="458"/>
      <c r="J41" s="458"/>
      <c r="K41" s="458"/>
      <c r="L41" s="182"/>
      <c r="M41" s="158"/>
      <c r="N41" s="436"/>
      <c r="O41" s="436"/>
      <c r="P41" s="436"/>
      <c r="Q41" s="158"/>
      <c r="R41" s="158"/>
      <c r="S41" s="158"/>
      <c r="T41" s="158"/>
      <c r="U41" s="158"/>
      <c r="V41" s="159"/>
      <c r="W41" s="295">
        <v>475</v>
      </c>
      <c r="X41" s="278">
        <v>500</v>
      </c>
      <c r="Y41" s="228"/>
      <c r="Z41" s="158"/>
      <c r="AA41" s="160"/>
      <c r="AB41" s="366">
        <v>66</v>
      </c>
      <c r="AC41" s="280">
        <f t="shared" si="31"/>
        <v>1.3820000000000006</v>
      </c>
      <c r="AD41" s="414">
        <v>0.3</v>
      </c>
      <c r="AE41" s="415">
        <f>AE40-0.6/5</f>
        <v>4.18</v>
      </c>
      <c r="AF41" s="182"/>
      <c r="AG41" s="182"/>
      <c r="AH41" s="182"/>
      <c r="AI41" s="182"/>
      <c r="AJ41" s="182"/>
      <c r="AK41" s="182"/>
      <c r="AL41" s="158"/>
      <c r="AM41" s="158"/>
      <c r="AN41" s="340"/>
      <c r="AO41" s="340"/>
      <c r="AP41" s="425"/>
      <c r="AQ41" s="425"/>
      <c r="AR41" s="425"/>
      <c r="AS41" s="425"/>
      <c r="AT41" s="425"/>
      <c r="AU41" s="182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</row>
    <row r="42" spans="1:102" ht="17.25" customHeight="1" thickBot="1">
      <c r="A42" s="158"/>
      <c r="B42" s="158"/>
      <c r="C42" s="158"/>
      <c r="D42" s="158"/>
      <c r="E42" s="158"/>
      <c r="F42" s="158"/>
      <c r="G42" s="158"/>
      <c r="H42" s="457"/>
      <c r="I42" s="458"/>
      <c r="J42" s="458"/>
      <c r="K42" s="458"/>
      <c r="L42" s="182"/>
      <c r="M42" s="158"/>
      <c r="N42" s="436"/>
      <c r="O42" s="436"/>
      <c r="P42" s="436"/>
      <c r="Q42" s="158"/>
      <c r="R42" s="158"/>
      <c r="S42" s="158"/>
      <c r="T42" s="158"/>
      <c r="U42" s="158"/>
      <c r="V42" s="159"/>
      <c r="W42" s="417">
        <v>500</v>
      </c>
      <c r="X42" s="355">
        <v>500</v>
      </c>
      <c r="Y42" s="228"/>
      <c r="Z42" s="158"/>
      <c r="AA42" s="160"/>
      <c r="AB42" s="366">
        <v>67</v>
      </c>
      <c r="AC42" s="280">
        <f t="shared" si="31"/>
        <v>1.3790000000000007</v>
      </c>
      <c r="AD42" s="414">
        <v>0.35</v>
      </c>
      <c r="AE42" s="415">
        <f>AE41-0.6/5</f>
        <v>4.06</v>
      </c>
      <c r="AF42" s="182"/>
      <c r="AG42" s="182"/>
      <c r="AH42" s="182"/>
      <c r="AI42" s="158"/>
      <c r="AJ42" s="158"/>
      <c r="AK42" s="158"/>
      <c r="AL42" s="158"/>
      <c r="AM42" s="158"/>
      <c r="AN42" s="182"/>
      <c r="AO42" s="182"/>
      <c r="AP42" s="182"/>
      <c r="AQ42" s="182"/>
      <c r="AR42" s="182"/>
      <c r="AS42" s="182"/>
      <c r="AT42" s="182"/>
      <c r="AU42" s="182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</row>
    <row r="43" spans="1:102" ht="17.25" customHeight="1">
      <c r="A43" s="158"/>
      <c r="B43" s="158"/>
      <c r="C43" s="158"/>
      <c r="D43" s="158"/>
      <c r="E43" s="158"/>
      <c r="F43" s="158"/>
      <c r="G43" s="158"/>
      <c r="H43" s="457"/>
      <c r="I43" s="458"/>
      <c r="J43" s="458"/>
      <c r="K43" s="458"/>
      <c r="L43" s="182"/>
      <c r="M43" s="158"/>
      <c r="N43" s="436"/>
      <c r="O43" s="436"/>
      <c r="P43" s="436"/>
      <c r="Q43" s="158"/>
      <c r="R43" s="158"/>
      <c r="S43" s="158"/>
      <c r="T43" s="158"/>
      <c r="U43" s="158"/>
      <c r="V43" s="159"/>
      <c r="W43" s="454"/>
      <c r="X43" s="454"/>
      <c r="Y43" s="454"/>
      <c r="Z43" s="158"/>
      <c r="AA43" s="160"/>
      <c r="AB43" s="366">
        <v>68</v>
      </c>
      <c r="AC43" s="280">
        <f t="shared" si="31"/>
        <v>1.3760000000000008</v>
      </c>
      <c r="AD43" s="414">
        <v>0.4</v>
      </c>
      <c r="AE43" s="415">
        <f>AE42-0.6/5</f>
        <v>3.9399999999999995</v>
      </c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</row>
    <row r="44" spans="1:102" ht="17.25" customHeight="1">
      <c r="A44" s="158"/>
      <c r="B44" s="158"/>
      <c r="C44" s="158"/>
      <c r="D44" s="158"/>
      <c r="E44" s="158"/>
      <c r="F44" s="158"/>
      <c r="G44" s="158"/>
      <c r="H44" s="457"/>
      <c r="I44" s="458"/>
      <c r="J44" s="458"/>
      <c r="K44" s="458"/>
      <c r="L44" s="158"/>
      <c r="M44" s="158"/>
      <c r="N44" s="436"/>
      <c r="O44" s="436"/>
      <c r="P44" s="436"/>
      <c r="Q44" s="158"/>
      <c r="R44" s="158"/>
      <c r="S44" s="459"/>
      <c r="T44" s="158"/>
      <c r="U44" s="158"/>
      <c r="V44" s="159"/>
      <c r="W44" s="159"/>
      <c r="X44" s="159"/>
      <c r="Y44" s="159"/>
      <c r="Z44" s="158"/>
      <c r="AA44" s="160"/>
      <c r="AB44" s="366">
        <v>69</v>
      </c>
      <c r="AC44" s="280">
        <f t="shared" si="31"/>
        <v>1.3730000000000009</v>
      </c>
      <c r="AD44" s="414">
        <v>0.45</v>
      </c>
      <c r="AE44" s="415">
        <f>AE43-0.6/5</f>
        <v>3.8199999999999994</v>
      </c>
      <c r="AF44" s="158"/>
      <c r="AG44" s="182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</row>
    <row r="45" spans="1:102" ht="17.25" customHeight="1">
      <c r="A45" s="158"/>
      <c r="B45" s="158"/>
      <c r="C45" s="158"/>
      <c r="D45" s="158"/>
      <c r="E45" s="158"/>
      <c r="F45" s="158"/>
      <c r="G45" s="158"/>
      <c r="H45" s="457"/>
      <c r="I45" s="458"/>
      <c r="J45" s="458"/>
      <c r="K45" s="458"/>
      <c r="L45" s="158"/>
      <c r="M45" s="158"/>
      <c r="N45" s="436"/>
      <c r="O45" s="436"/>
      <c r="P45" s="436"/>
      <c r="Q45" s="158"/>
      <c r="R45" s="158"/>
      <c r="S45" s="460"/>
      <c r="T45" s="158"/>
      <c r="U45" s="158"/>
      <c r="V45" s="159"/>
      <c r="W45" s="159"/>
      <c r="X45" s="159"/>
      <c r="Y45" s="159"/>
      <c r="Z45" s="158"/>
      <c r="AA45" s="160"/>
      <c r="AB45" s="366">
        <v>70</v>
      </c>
      <c r="AC45" s="280">
        <f t="shared" si="31"/>
        <v>1.370000000000001</v>
      </c>
      <c r="AD45" s="412">
        <v>0.5</v>
      </c>
      <c r="AE45" s="413">
        <v>3.7</v>
      </c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</row>
    <row r="46" spans="1:102" ht="17.25" customHeight="1">
      <c r="A46" s="158"/>
      <c r="B46" s="158"/>
      <c r="C46" s="158"/>
      <c r="D46" s="158"/>
      <c r="E46" s="158"/>
      <c r="F46" s="158"/>
      <c r="G46" s="158"/>
      <c r="H46" s="457"/>
      <c r="I46" s="458"/>
      <c r="J46" s="458"/>
      <c r="K46" s="458"/>
      <c r="L46" s="158"/>
      <c r="M46" s="158"/>
      <c r="N46" s="158"/>
      <c r="O46" s="158"/>
      <c r="P46" s="158"/>
      <c r="Q46" s="158"/>
      <c r="R46" s="158"/>
      <c r="S46" s="460"/>
      <c r="T46" s="158"/>
      <c r="U46" s="158"/>
      <c r="V46" s="159"/>
      <c r="W46" s="159"/>
      <c r="X46" s="159"/>
      <c r="Y46" s="159"/>
      <c r="Z46" s="158"/>
      <c r="AA46" s="160"/>
      <c r="AB46" s="366">
        <v>71</v>
      </c>
      <c r="AC46" s="280">
        <f t="shared" si="31"/>
        <v>1.367000000000001</v>
      </c>
      <c r="AD46" s="414">
        <v>0.6</v>
      </c>
      <c r="AE46" s="415">
        <f>AE45-0.5/5</f>
        <v>3.6</v>
      </c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</row>
    <row r="47" spans="1:102" ht="17.25" customHeight="1">
      <c r="A47" s="158"/>
      <c r="B47" s="158"/>
      <c r="C47" s="158"/>
      <c r="D47" s="158"/>
      <c r="E47" s="158"/>
      <c r="F47" s="158"/>
      <c r="G47" s="158"/>
      <c r="H47" s="461"/>
      <c r="I47" s="462"/>
      <c r="J47" s="462"/>
      <c r="K47" s="462"/>
      <c r="L47" s="158"/>
      <c r="M47" s="158"/>
      <c r="N47" s="158"/>
      <c r="O47" s="158"/>
      <c r="P47" s="158"/>
      <c r="Q47" s="158"/>
      <c r="R47" s="158"/>
      <c r="S47" s="182"/>
      <c r="T47" s="158"/>
      <c r="U47" s="158"/>
      <c r="V47" s="159"/>
      <c r="W47" s="159"/>
      <c r="X47" s="159"/>
      <c r="Y47" s="159"/>
      <c r="Z47" s="158"/>
      <c r="AA47" s="160"/>
      <c r="AB47" s="366">
        <v>72</v>
      </c>
      <c r="AC47" s="280">
        <f t="shared" si="31"/>
        <v>1.3640000000000012</v>
      </c>
      <c r="AD47" s="414">
        <v>0.7</v>
      </c>
      <c r="AE47" s="415">
        <f>AE46-0.5/5</f>
        <v>3.5</v>
      </c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</row>
    <row r="48" spans="1:102" ht="17.25" customHeight="1">
      <c r="A48" s="158"/>
      <c r="B48" s="158"/>
      <c r="C48" s="158"/>
      <c r="D48" s="158"/>
      <c r="E48" s="158"/>
      <c r="F48" s="158"/>
      <c r="G48" s="158"/>
      <c r="H48" s="457"/>
      <c r="I48" s="458"/>
      <c r="J48" s="458"/>
      <c r="K48" s="4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9"/>
      <c r="W48" s="159"/>
      <c r="X48" s="159"/>
      <c r="Y48" s="159"/>
      <c r="Z48" s="158"/>
      <c r="AA48" s="160"/>
      <c r="AB48" s="366">
        <v>73</v>
      </c>
      <c r="AC48" s="280">
        <f t="shared" si="31"/>
        <v>1.3610000000000013</v>
      </c>
      <c r="AD48" s="414">
        <v>0.8</v>
      </c>
      <c r="AE48" s="415">
        <f>AE47-0.5/5</f>
        <v>3.4</v>
      </c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</row>
    <row r="49" spans="1:102" ht="17.25" customHeight="1">
      <c r="A49" s="158"/>
      <c r="B49" s="158"/>
      <c r="C49" s="158"/>
      <c r="D49" s="158"/>
      <c r="E49" s="158"/>
      <c r="F49" s="158"/>
      <c r="G49" s="158"/>
      <c r="H49" s="461"/>
      <c r="I49" s="462"/>
      <c r="J49" s="462"/>
      <c r="K49" s="462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9"/>
      <c r="W49" s="159"/>
      <c r="X49" s="159"/>
      <c r="Y49" s="159"/>
      <c r="Z49" s="158"/>
      <c r="AA49" s="160"/>
      <c r="AB49" s="366">
        <v>74</v>
      </c>
      <c r="AC49" s="280">
        <f t="shared" si="31"/>
        <v>1.3580000000000014</v>
      </c>
      <c r="AD49" s="414">
        <v>0.9</v>
      </c>
      <c r="AE49" s="415">
        <f>AE48-0.5/5</f>
        <v>3.3</v>
      </c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</row>
    <row r="50" spans="1:102" ht="17.25" customHeight="1">
      <c r="A50" s="158"/>
      <c r="B50" s="158"/>
      <c r="C50" s="158"/>
      <c r="D50" s="158"/>
      <c r="E50" s="158"/>
      <c r="F50" s="158"/>
      <c r="G50" s="158"/>
      <c r="H50" s="457"/>
      <c r="I50" s="458"/>
      <c r="J50" s="458"/>
      <c r="K50" s="4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9"/>
      <c r="W50" s="159"/>
      <c r="X50" s="159"/>
      <c r="Y50" s="159"/>
      <c r="Z50" s="158"/>
      <c r="AA50" s="160"/>
      <c r="AB50" s="366">
        <v>75</v>
      </c>
      <c r="AC50" s="280">
        <f t="shared" si="31"/>
        <v>1.3550000000000015</v>
      </c>
      <c r="AD50" s="412">
        <v>1</v>
      </c>
      <c r="AE50" s="413">
        <v>3.2</v>
      </c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</row>
    <row r="51" spans="1:102" ht="17.25" customHeight="1">
      <c r="A51" s="158"/>
      <c r="B51" s="158"/>
      <c r="C51" s="158"/>
      <c r="D51" s="158"/>
      <c r="E51" s="158"/>
      <c r="F51" s="158"/>
      <c r="G51" s="158"/>
      <c r="H51" s="461"/>
      <c r="I51" s="462"/>
      <c r="J51" s="462"/>
      <c r="K51" s="462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9"/>
      <c r="W51" s="159"/>
      <c r="X51" s="159"/>
      <c r="Y51" s="159"/>
      <c r="Z51" s="158"/>
      <c r="AA51" s="160"/>
      <c r="AB51" s="366">
        <v>76</v>
      </c>
      <c r="AC51" s="280">
        <f t="shared" si="31"/>
        <v>1.3520000000000016</v>
      </c>
      <c r="AD51" s="414">
        <v>1.1</v>
      </c>
      <c r="AE51" s="415">
        <f>AE50-0.4/5</f>
        <v>3.12</v>
      </c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</row>
    <row r="52" spans="1:102" ht="17.25" customHeight="1">
      <c r="A52" s="158"/>
      <c r="B52" s="158"/>
      <c r="C52" s="158"/>
      <c r="D52" s="158"/>
      <c r="E52" s="158"/>
      <c r="F52" s="158"/>
      <c r="G52" s="158"/>
      <c r="H52" s="457"/>
      <c r="I52" s="458"/>
      <c r="J52" s="458"/>
      <c r="K52" s="4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9"/>
      <c r="W52" s="159"/>
      <c r="X52" s="159"/>
      <c r="Y52" s="159"/>
      <c r="Z52" s="158"/>
      <c r="AA52" s="160"/>
      <c r="AB52" s="366">
        <v>77</v>
      </c>
      <c r="AC52" s="280">
        <f t="shared" si="31"/>
        <v>1.3490000000000018</v>
      </c>
      <c r="AD52" s="414">
        <v>1.2</v>
      </c>
      <c r="AE52" s="415">
        <f>AE51-0.4/5</f>
        <v>3.04</v>
      </c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</row>
    <row r="53" spans="1:102" ht="17.25" customHeight="1">
      <c r="A53" s="158"/>
      <c r="B53" s="158"/>
      <c r="C53" s="158"/>
      <c r="D53" s="158"/>
      <c r="E53" s="158"/>
      <c r="F53" s="158"/>
      <c r="G53" s="158"/>
      <c r="H53" s="461"/>
      <c r="I53" s="462"/>
      <c r="J53" s="462"/>
      <c r="K53" s="462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9"/>
      <c r="W53" s="159"/>
      <c r="X53" s="159"/>
      <c r="Y53" s="159"/>
      <c r="Z53" s="158"/>
      <c r="AA53" s="160"/>
      <c r="AB53" s="366">
        <v>78</v>
      </c>
      <c r="AC53" s="280">
        <f t="shared" si="31"/>
        <v>1.3460000000000019</v>
      </c>
      <c r="AD53" s="414">
        <v>1.3</v>
      </c>
      <c r="AE53" s="415">
        <f>AE52-0.4/5</f>
        <v>2.96</v>
      </c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</row>
    <row r="54" spans="1:102" ht="17.25" customHeight="1">
      <c r="A54" s="158"/>
      <c r="B54" s="158"/>
      <c r="C54" s="158"/>
      <c r="D54" s="158"/>
      <c r="E54" s="158"/>
      <c r="F54" s="158"/>
      <c r="G54" s="158"/>
      <c r="H54" s="457"/>
      <c r="I54" s="458"/>
      <c r="J54" s="458"/>
      <c r="K54" s="4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9"/>
      <c r="W54" s="159"/>
      <c r="X54" s="159"/>
      <c r="Y54" s="159"/>
      <c r="Z54" s="158"/>
      <c r="AA54" s="160"/>
      <c r="AB54" s="366">
        <v>79</v>
      </c>
      <c r="AC54" s="280">
        <f t="shared" si="31"/>
        <v>1.343000000000002</v>
      </c>
      <c r="AD54" s="414">
        <v>1.4</v>
      </c>
      <c r="AE54" s="415">
        <f>AE53-0.4/5</f>
        <v>2.88</v>
      </c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</row>
    <row r="55" spans="1:102" ht="17.25" customHeight="1" thickBot="1">
      <c r="A55" s="158"/>
      <c r="B55" s="158"/>
      <c r="C55" s="158"/>
      <c r="D55" s="158"/>
      <c r="E55" s="158"/>
      <c r="F55" s="158"/>
      <c r="G55" s="158"/>
      <c r="H55" s="461"/>
      <c r="I55" s="462"/>
      <c r="J55" s="462"/>
      <c r="K55" s="462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9"/>
      <c r="W55" s="159"/>
      <c r="X55" s="159"/>
      <c r="Y55" s="159"/>
      <c r="Z55" s="158"/>
      <c r="AA55" s="160"/>
      <c r="AB55" s="463">
        <v>80</v>
      </c>
      <c r="AC55" s="464">
        <v>1.34</v>
      </c>
      <c r="AD55" s="412">
        <v>1.5</v>
      </c>
      <c r="AE55" s="413">
        <v>2.8</v>
      </c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</row>
    <row r="56" spans="1:102" ht="17.25" customHeight="1">
      <c r="A56" s="158"/>
      <c r="B56" s="158"/>
      <c r="C56" s="158"/>
      <c r="D56" s="158"/>
      <c r="E56" s="158"/>
      <c r="F56" s="158"/>
      <c r="G56" s="158"/>
      <c r="H56" s="457"/>
      <c r="I56" s="458"/>
      <c r="J56" s="458"/>
      <c r="K56" s="4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9"/>
      <c r="W56" s="159"/>
      <c r="X56" s="159"/>
      <c r="Y56" s="159"/>
      <c r="Z56" s="158"/>
      <c r="AA56" s="160"/>
      <c r="AB56" s="465"/>
      <c r="AC56" s="466"/>
      <c r="AD56" s="414">
        <v>1.6</v>
      </c>
      <c r="AE56" s="415">
        <f>AE55-0.3/5</f>
        <v>2.7399999999999998</v>
      </c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</row>
    <row r="57" spans="1:102" ht="17.25" customHeight="1">
      <c r="A57" s="158"/>
      <c r="B57" s="158"/>
      <c r="C57" s="158"/>
      <c r="D57" s="158"/>
      <c r="E57" s="158"/>
      <c r="F57" s="158"/>
      <c r="G57" s="158"/>
      <c r="H57" s="461"/>
      <c r="I57" s="462"/>
      <c r="J57" s="462"/>
      <c r="K57" s="462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9"/>
      <c r="W57" s="159"/>
      <c r="X57" s="159"/>
      <c r="Y57" s="159"/>
      <c r="Z57" s="158"/>
      <c r="AA57" s="160"/>
      <c r="AB57" s="465"/>
      <c r="AC57" s="466"/>
      <c r="AD57" s="414">
        <v>1.7</v>
      </c>
      <c r="AE57" s="415">
        <f>AE56-0.3/5</f>
        <v>2.6799999999999997</v>
      </c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</row>
    <row r="58" spans="1:102" ht="17.25" customHeight="1">
      <c r="A58" s="158"/>
      <c r="B58" s="158"/>
      <c r="C58" s="158"/>
      <c r="D58" s="158"/>
      <c r="E58" s="158"/>
      <c r="F58" s="158"/>
      <c r="G58" s="158"/>
      <c r="H58" s="457"/>
      <c r="I58" s="458"/>
      <c r="J58" s="458"/>
      <c r="K58" s="4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9"/>
      <c r="W58" s="159"/>
      <c r="X58" s="159"/>
      <c r="Y58" s="159"/>
      <c r="Z58" s="158"/>
      <c r="AA58" s="160"/>
      <c r="AB58" s="465"/>
      <c r="AC58" s="466"/>
      <c r="AD58" s="414">
        <v>1.8</v>
      </c>
      <c r="AE58" s="415">
        <f>AE57-0.3/5</f>
        <v>2.6199999999999997</v>
      </c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</row>
    <row r="59" spans="1:102" ht="17.25" customHeight="1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9"/>
      <c r="W59" s="159"/>
      <c r="X59" s="159"/>
      <c r="Y59" s="159"/>
      <c r="Z59" s="158"/>
      <c r="AA59" s="160"/>
      <c r="AB59" s="159"/>
      <c r="AC59" s="159"/>
      <c r="AD59" s="414">
        <v>1.9</v>
      </c>
      <c r="AE59" s="415">
        <f>AE58-0.3/5</f>
        <v>2.5599999999999996</v>
      </c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</row>
    <row r="60" spans="1:102" ht="17.25" customHeight="1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9"/>
      <c r="W60" s="159"/>
      <c r="X60" s="159"/>
      <c r="Y60" s="159"/>
      <c r="Z60" s="158"/>
      <c r="AA60" s="160"/>
      <c r="AB60" s="159"/>
      <c r="AC60" s="159"/>
      <c r="AD60" s="412">
        <v>2</v>
      </c>
      <c r="AE60" s="413">
        <v>2.5</v>
      </c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</row>
    <row r="61" spans="1:102" ht="17.25" customHeight="1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9"/>
      <c r="W61" s="159"/>
      <c r="X61" s="159"/>
      <c r="Y61" s="159"/>
      <c r="Z61" s="158"/>
      <c r="AA61" s="160"/>
      <c r="AB61" s="159"/>
      <c r="AC61" s="159"/>
      <c r="AD61" s="414">
        <v>2.1</v>
      </c>
      <c r="AE61" s="415">
        <f>AE60-0.2/5</f>
        <v>2.46</v>
      </c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</row>
    <row r="62" spans="1:102" ht="17.25" customHeight="1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9"/>
      <c r="W62" s="159"/>
      <c r="X62" s="159"/>
      <c r="Y62" s="159"/>
      <c r="Z62" s="158"/>
      <c r="AA62" s="160"/>
      <c r="AB62" s="159"/>
      <c r="AC62" s="159"/>
      <c r="AD62" s="414">
        <v>2.2</v>
      </c>
      <c r="AE62" s="415">
        <f>AE61-0.2/5</f>
        <v>2.42</v>
      </c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</row>
    <row r="63" spans="1:102" ht="17.25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9"/>
      <c r="W63" s="159"/>
      <c r="X63" s="159"/>
      <c r="Y63" s="159"/>
      <c r="Z63" s="158"/>
      <c r="AA63" s="160"/>
      <c r="AB63" s="159"/>
      <c r="AC63" s="159"/>
      <c r="AD63" s="414">
        <v>2.3</v>
      </c>
      <c r="AE63" s="415">
        <f>AE62-0.2/5</f>
        <v>2.38</v>
      </c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</row>
    <row r="64" spans="1:102" ht="17.25" customHeight="1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9"/>
      <c r="W64" s="159"/>
      <c r="X64" s="159"/>
      <c r="Y64" s="159"/>
      <c r="Z64" s="158"/>
      <c r="AA64" s="160"/>
      <c r="AB64" s="159"/>
      <c r="AC64" s="159"/>
      <c r="AD64" s="414">
        <v>2.4</v>
      </c>
      <c r="AE64" s="415">
        <f>AE63-0.2/5</f>
        <v>2.34</v>
      </c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</row>
    <row r="65" spans="1:102" ht="17.25" customHeight="1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9"/>
      <c r="W65" s="159"/>
      <c r="X65" s="159"/>
      <c r="Y65" s="159"/>
      <c r="Z65" s="158"/>
      <c r="AA65" s="160"/>
      <c r="AB65" s="159"/>
      <c r="AC65" s="159"/>
      <c r="AD65" s="412">
        <v>2.5</v>
      </c>
      <c r="AE65" s="413">
        <v>2.3</v>
      </c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</row>
    <row r="66" spans="1:102" ht="17.25" customHeight="1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9"/>
      <c r="W66" s="159"/>
      <c r="X66" s="159"/>
      <c r="Y66" s="159"/>
      <c r="Z66" s="158"/>
      <c r="AA66" s="160"/>
      <c r="AB66" s="159"/>
      <c r="AC66" s="159"/>
      <c r="AD66" s="414">
        <v>2.6</v>
      </c>
      <c r="AE66" s="415">
        <f>AE65-0.3/5</f>
        <v>2.2399999999999998</v>
      </c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</row>
    <row r="67" spans="1:102" ht="17.25" customHeight="1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9"/>
      <c r="W67" s="159"/>
      <c r="X67" s="159"/>
      <c r="Y67" s="159"/>
      <c r="Z67" s="158"/>
      <c r="AA67" s="160"/>
      <c r="AB67" s="159"/>
      <c r="AC67" s="159"/>
      <c r="AD67" s="414">
        <v>2.7</v>
      </c>
      <c r="AE67" s="415">
        <f>AE66-0.3/5</f>
        <v>2.1799999999999997</v>
      </c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</row>
    <row r="68" spans="1:102" ht="17.25" customHeight="1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9"/>
      <c r="W68" s="159"/>
      <c r="X68" s="159"/>
      <c r="Y68" s="159"/>
      <c r="Z68" s="158"/>
      <c r="AA68" s="160"/>
      <c r="AB68" s="159"/>
      <c r="AC68" s="159"/>
      <c r="AD68" s="414">
        <v>2.8</v>
      </c>
      <c r="AE68" s="415">
        <f>AE67-0.3/5</f>
        <v>2.1199999999999997</v>
      </c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</row>
    <row r="69" spans="1:102" ht="17.25" customHeight="1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9"/>
      <c r="W69" s="159"/>
      <c r="X69" s="159"/>
      <c r="Y69" s="159"/>
      <c r="Z69" s="158"/>
      <c r="AA69" s="160"/>
      <c r="AB69" s="159"/>
      <c r="AC69" s="159"/>
      <c r="AD69" s="414">
        <v>2.9</v>
      </c>
      <c r="AE69" s="415">
        <f>AE68-0.3/5</f>
        <v>2.0599999999999996</v>
      </c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</row>
    <row r="70" spans="1:102" ht="17.25" customHeight="1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9"/>
      <c r="W70" s="159"/>
      <c r="X70" s="159"/>
      <c r="Y70" s="159"/>
      <c r="Z70" s="158"/>
      <c r="AA70" s="160"/>
      <c r="AB70" s="159"/>
      <c r="AC70" s="159"/>
      <c r="AD70" s="412">
        <v>3</v>
      </c>
      <c r="AE70" s="413">
        <v>2</v>
      </c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</row>
    <row r="71" spans="1:102" ht="17.25" customHeight="1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9"/>
      <c r="W71" s="159"/>
      <c r="X71" s="159"/>
      <c r="Y71" s="159"/>
      <c r="Z71" s="158"/>
      <c r="AA71" s="160"/>
      <c r="AB71" s="159"/>
      <c r="AC71" s="159"/>
      <c r="AD71" s="414">
        <v>3.25</v>
      </c>
      <c r="AE71" s="415">
        <f>AE70-0.3/4</f>
        <v>1.925</v>
      </c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</row>
    <row r="72" spans="1:102" ht="17.25" customHeight="1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9"/>
      <c r="W72" s="159"/>
      <c r="X72" s="159"/>
      <c r="Y72" s="159"/>
      <c r="Z72" s="158"/>
      <c r="AA72" s="160"/>
      <c r="AB72" s="159"/>
      <c r="AC72" s="159"/>
      <c r="AD72" s="414">
        <v>3.5</v>
      </c>
      <c r="AE72" s="415">
        <f>AE71-0.3/4</f>
        <v>1.85</v>
      </c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</row>
    <row r="73" spans="1:102" ht="17.25" customHeight="1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9"/>
      <c r="W73" s="159"/>
      <c r="X73" s="159"/>
      <c r="Y73" s="159"/>
      <c r="Z73" s="158"/>
      <c r="AA73" s="160"/>
      <c r="AB73" s="159"/>
      <c r="AC73" s="159"/>
      <c r="AD73" s="414">
        <v>3.75</v>
      </c>
      <c r="AE73" s="415">
        <f>AE72-0.3/4</f>
        <v>1.7750000000000001</v>
      </c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</row>
    <row r="74" spans="1:102" ht="17.25" customHeight="1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9"/>
      <c r="W74" s="159"/>
      <c r="X74" s="159"/>
      <c r="Y74" s="159"/>
      <c r="Z74" s="158"/>
      <c r="AA74" s="160"/>
      <c r="AB74" s="159"/>
      <c r="AC74" s="159"/>
      <c r="AD74" s="412">
        <v>4</v>
      </c>
      <c r="AE74" s="413">
        <v>1.7</v>
      </c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</row>
    <row r="75" spans="1:102" ht="17.25" customHeight="1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9"/>
      <c r="W75" s="159"/>
      <c r="X75" s="159"/>
      <c r="Y75" s="159"/>
      <c r="Z75" s="158"/>
      <c r="AA75" s="160"/>
      <c r="AB75" s="454"/>
      <c r="AC75" s="454"/>
      <c r="AD75" s="414">
        <v>5</v>
      </c>
      <c r="AE75" s="415">
        <f>AE74-0.2/3</f>
        <v>1.6333333333333333</v>
      </c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</row>
    <row r="76" spans="1:102" ht="17.25" customHeight="1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9"/>
      <c r="W76" s="159"/>
      <c r="X76" s="159"/>
      <c r="Y76" s="159"/>
      <c r="Z76" s="158"/>
      <c r="AA76" s="160"/>
      <c r="AB76" s="454"/>
      <c r="AC76" s="454"/>
      <c r="AD76" s="414">
        <v>6</v>
      </c>
      <c r="AE76" s="415">
        <f>AE75-0.2/3</f>
        <v>1.5666666666666667</v>
      </c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</row>
    <row r="77" spans="1:102" ht="17.25" customHeight="1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9"/>
      <c r="W77" s="159"/>
      <c r="X77" s="159"/>
      <c r="Y77" s="159"/>
      <c r="Z77" s="158"/>
      <c r="AA77" s="160"/>
      <c r="AB77" s="160"/>
      <c r="AC77" s="160"/>
      <c r="AD77" s="412">
        <v>7</v>
      </c>
      <c r="AE77" s="413">
        <v>1.5</v>
      </c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</row>
    <row r="78" spans="1:102" ht="17.25" customHeight="1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9"/>
      <c r="W78" s="159"/>
      <c r="X78" s="159"/>
      <c r="Y78" s="159"/>
      <c r="Z78" s="158"/>
      <c r="AA78" s="160"/>
      <c r="AB78" s="160"/>
      <c r="AC78" s="160"/>
      <c r="AD78" s="414">
        <v>8</v>
      </c>
      <c r="AE78" s="415">
        <f>AE77-0.2/3</f>
        <v>1.4333333333333333</v>
      </c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</row>
    <row r="79" spans="1:102" ht="17.25" customHeight="1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9"/>
      <c r="W79" s="159"/>
      <c r="X79" s="159"/>
      <c r="Y79" s="159"/>
      <c r="Z79" s="158"/>
      <c r="AA79" s="160"/>
      <c r="AB79" s="160"/>
      <c r="AC79" s="160"/>
      <c r="AD79" s="414">
        <v>9</v>
      </c>
      <c r="AE79" s="415">
        <f>AE78-0.2/3</f>
        <v>1.3666666666666667</v>
      </c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</row>
    <row r="80" spans="1:102" ht="17.25" customHeight="1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9"/>
      <c r="W80" s="159"/>
      <c r="X80" s="159"/>
      <c r="Y80" s="159"/>
      <c r="Z80" s="158"/>
      <c r="AA80" s="160"/>
      <c r="AB80" s="160"/>
      <c r="AC80" s="160"/>
      <c r="AD80" s="412">
        <v>10</v>
      </c>
      <c r="AE80" s="413">
        <v>1.3</v>
      </c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</row>
    <row r="81" spans="1:102" ht="17.25" customHeight="1" thickBot="1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9"/>
      <c r="W81" s="159"/>
      <c r="X81" s="159"/>
      <c r="Y81" s="159"/>
      <c r="Z81" s="158"/>
      <c r="AA81" s="160"/>
      <c r="AB81" s="160"/>
      <c r="AC81" s="160"/>
      <c r="AD81" s="467">
        <v>15</v>
      </c>
      <c r="AE81" s="468">
        <v>1.2</v>
      </c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</row>
    <row r="82" spans="1:102" ht="17.25" customHeight="1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9"/>
      <c r="W82" s="159"/>
      <c r="X82" s="159"/>
      <c r="Y82" s="159"/>
      <c r="Z82" s="158"/>
      <c r="AA82" s="160"/>
      <c r="AB82" s="160"/>
      <c r="AC82" s="160"/>
      <c r="AD82" s="160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</row>
    <row r="83" spans="1:102" ht="17.25" customHeight="1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9"/>
      <c r="W83" s="159"/>
      <c r="X83" s="159"/>
      <c r="Y83" s="159"/>
      <c r="Z83" s="158"/>
      <c r="AA83" s="160"/>
      <c r="AB83" s="160"/>
      <c r="AC83" s="160"/>
      <c r="AD83" s="160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</row>
    <row r="84" spans="1:102" ht="17.25" customHeight="1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9"/>
      <c r="W84" s="159"/>
      <c r="X84" s="159"/>
      <c r="Y84" s="159"/>
      <c r="Z84" s="158"/>
      <c r="AA84" s="160"/>
      <c r="AB84" s="160"/>
      <c r="AC84" s="160"/>
      <c r="AD84" s="160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</row>
    <row r="85" spans="1:102" ht="17.25" customHeight="1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9"/>
      <c r="W85" s="159"/>
      <c r="X85" s="159"/>
      <c r="Y85" s="159"/>
      <c r="Z85" s="158"/>
      <c r="AA85" s="160"/>
      <c r="AB85" s="160"/>
      <c r="AC85" s="160"/>
      <c r="AD85" s="160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</row>
    <row r="86" spans="1:102" ht="17.25" customHeight="1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9"/>
      <c r="W86" s="159"/>
      <c r="X86" s="159"/>
      <c r="Y86" s="159"/>
      <c r="Z86" s="158"/>
      <c r="AA86" s="160"/>
      <c r="AB86" s="160"/>
      <c r="AC86" s="160"/>
      <c r="AD86" s="160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</row>
    <row r="87" spans="1:102" ht="17.25" customHeight="1">
      <c r="A87" s="158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9"/>
      <c r="W87" s="159"/>
      <c r="X87" s="159"/>
      <c r="Y87" s="159"/>
      <c r="Z87" s="158"/>
      <c r="AA87" s="160"/>
      <c r="AB87" s="160"/>
      <c r="AC87" s="160"/>
      <c r="AD87" s="160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</row>
    <row r="88" spans="1:102" ht="17.25" customHeight="1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9"/>
      <c r="W88" s="159"/>
      <c r="X88" s="159"/>
      <c r="Y88" s="159"/>
      <c r="Z88" s="158"/>
      <c r="AA88" s="160"/>
      <c r="AB88" s="160"/>
      <c r="AC88" s="160"/>
      <c r="AD88" s="160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</row>
    <row r="89" spans="1:102" ht="17.25" customHeight="1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9"/>
      <c r="W89" s="159"/>
      <c r="X89" s="159"/>
      <c r="Y89" s="159"/>
      <c r="Z89" s="158"/>
      <c r="AA89" s="160"/>
      <c r="AB89" s="160"/>
      <c r="AC89" s="160"/>
      <c r="AD89" s="160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</row>
    <row r="90" spans="1:102" ht="17.25" customHeight="1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9"/>
      <c r="W90" s="159"/>
      <c r="X90" s="159"/>
      <c r="Y90" s="159"/>
      <c r="Z90" s="158"/>
      <c r="AA90" s="160"/>
      <c r="AB90" s="160"/>
      <c r="AC90" s="160"/>
      <c r="AD90" s="160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</row>
    <row r="91" spans="1:102" ht="17.25" customHeight="1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9"/>
      <c r="W91" s="159"/>
      <c r="X91" s="159"/>
      <c r="Y91" s="159"/>
      <c r="Z91" s="158"/>
      <c r="AA91" s="160"/>
      <c r="AB91" s="160"/>
      <c r="AC91" s="160"/>
      <c r="AD91" s="160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</row>
    <row r="92" spans="1:102" ht="17.25" customHeight="1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9"/>
      <c r="W92" s="159"/>
      <c r="X92" s="159"/>
      <c r="Y92" s="159"/>
      <c r="Z92" s="158"/>
      <c r="AA92" s="160"/>
      <c r="AB92" s="160"/>
      <c r="AC92" s="160"/>
      <c r="AD92" s="160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</row>
    <row r="93" spans="1:102" ht="17.25" customHeight="1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9"/>
      <c r="W93" s="159"/>
      <c r="X93" s="159"/>
      <c r="Y93" s="159"/>
      <c r="Z93" s="158"/>
      <c r="AA93" s="160"/>
      <c r="AB93" s="160"/>
      <c r="AC93" s="160"/>
      <c r="AD93" s="160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</row>
    <row r="94" spans="1:102" ht="17.25" customHeight="1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9"/>
      <c r="W94" s="159"/>
      <c r="X94" s="159"/>
      <c r="Y94" s="159"/>
      <c r="Z94" s="158"/>
      <c r="AA94" s="160"/>
      <c r="AB94" s="160"/>
      <c r="AC94" s="160"/>
      <c r="AD94" s="160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</row>
    <row r="95" spans="1:102" ht="17.25" customHeight="1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9"/>
      <c r="W95" s="159"/>
      <c r="X95" s="159"/>
      <c r="Y95" s="159"/>
      <c r="Z95" s="158"/>
      <c r="AA95" s="160"/>
      <c r="AB95" s="160"/>
      <c r="AC95" s="160"/>
      <c r="AD95" s="160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  <c r="CX95" s="158"/>
    </row>
    <row r="96" spans="1:102" ht="17.25" customHeight="1">
      <c r="A96" s="158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9"/>
      <c r="W96" s="159"/>
      <c r="X96" s="159"/>
      <c r="Y96" s="159"/>
      <c r="Z96" s="158"/>
      <c r="AA96" s="160"/>
      <c r="AB96" s="160"/>
      <c r="AC96" s="160"/>
      <c r="AD96" s="160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</row>
    <row r="97" spans="1:102" ht="17.25" customHeight="1">
      <c r="A97" s="158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9"/>
      <c r="W97" s="159"/>
      <c r="X97" s="159"/>
      <c r="Y97" s="159"/>
      <c r="Z97" s="158"/>
      <c r="AA97" s="160"/>
      <c r="AB97" s="160"/>
      <c r="AC97" s="160"/>
      <c r="AD97" s="160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</row>
    <row r="98" spans="1:102" ht="17.25" customHeight="1">
      <c r="A98" s="158"/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9"/>
      <c r="W98" s="159"/>
      <c r="X98" s="159"/>
      <c r="Y98" s="159"/>
      <c r="Z98" s="158"/>
      <c r="AA98" s="160"/>
      <c r="AB98" s="160"/>
      <c r="AC98" s="160"/>
      <c r="AD98" s="160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</row>
    <row r="99" spans="1:102" ht="17.25" customHeight="1">
      <c r="A99" s="158"/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9"/>
      <c r="W99" s="159"/>
      <c r="X99" s="159"/>
      <c r="Y99" s="159"/>
      <c r="Z99" s="158"/>
      <c r="AA99" s="160"/>
      <c r="AB99" s="160"/>
      <c r="AC99" s="160"/>
      <c r="AD99" s="160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</row>
    <row r="100" spans="1:102" ht="17.25" customHeight="1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9"/>
      <c r="W100" s="159"/>
      <c r="X100" s="159"/>
      <c r="Y100" s="159"/>
      <c r="Z100" s="158"/>
      <c r="AA100" s="160"/>
      <c r="AB100" s="160"/>
      <c r="AC100" s="160"/>
      <c r="AD100" s="160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</row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</sheetData>
  <sheetProtection sheet="1" objects="1" scenarios="1"/>
  <mergeCells count="37">
    <mergeCell ref="AF1:CW1"/>
    <mergeCell ref="CK5:CP5"/>
    <mergeCell ref="CK4:CP4"/>
    <mergeCell ref="CR4:CW4"/>
    <mergeCell ref="CD4:CI4"/>
    <mergeCell ref="CR5:CW5"/>
    <mergeCell ref="AD3:AE3"/>
    <mergeCell ref="BP5:BU5"/>
    <mergeCell ref="BW5:CB5"/>
    <mergeCell ref="CD5:CI5"/>
    <mergeCell ref="BI5:BN5"/>
    <mergeCell ref="BI4:BN4"/>
    <mergeCell ref="BP4:BU4"/>
    <mergeCell ref="BW4:CB4"/>
    <mergeCell ref="A1:K1"/>
    <mergeCell ref="A16:E16"/>
    <mergeCell ref="C6:E6"/>
    <mergeCell ref="A3:E3"/>
    <mergeCell ref="C10:E10"/>
    <mergeCell ref="C11:E11"/>
    <mergeCell ref="C5:E5"/>
    <mergeCell ref="C9:E9"/>
    <mergeCell ref="M1:AE1"/>
    <mergeCell ref="AN4:AS4"/>
    <mergeCell ref="AU4:AZ4"/>
    <mergeCell ref="BB4:BG4"/>
    <mergeCell ref="O4:P4"/>
    <mergeCell ref="Q4:S4"/>
    <mergeCell ref="AB3:AC3"/>
    <mergeCell ref="W3:X3"/>
    <mergeCell ref="Z3:AA3"/>
    <mergeCell ref="T3:U3"/>
    <mergeCell ref="O5:P5"/>
    <mergeCell ref="AU5:AZ5"/>
    <mergeCell ref="BB5:BG5"/>
    <mergeCell ref="AN5:AS5"/>
    <mergeCell ref="Q5:S5"/>
  </mergeCells>
  <conditionalFormatting sqref="J19 J14">
    <cfRule type="cellIs" priority="1" dxfId="0" operator="greaterThan" stopIfTrue="1">
      <formula>5</formula>
    </cfRule>
  </conditionalFormatting>
  <conditionalFormatting sqref="D30">
    <cfRule type="cellIs" priority="2" dxfId="0" operator="lessThanOrEqual" stopIfTrue="1">
      <formula>0</formula>
    </cfRule>
  </conditionalFormatting>
  <conditionalFormatting sqref="J10">
    <cfRule type="cellIs" priority="3" dxfId="0" operator="greaterThan" stopIfTrue="1">
      <formula>25</formula>
    </cfRule>
  </conditionalFormatting>
  <conditionalFormatting sqref="D38">
    <cfRule type="cellIs" priority="4" dxfId="0" operator="notBetween" stopIfTrue="1">
      <formula>-1</formula>
      <formula>1</formula>
    </cfRule>
  </conditionalFormatting>
  <conditionalFormatting sqref="AW27">
    <cfRule type="expression" priority="5" dxfId="1" stopIfTrue="1">
      <formula>$AN$7-5</formula>
    </cfRule>
  </conditionalFormatting>
  <printOptions horizontalCentered="1"/>
  <pageMargins left="0.7874015748031497" right="0.1968503937007874" top="0.7874015748031497" bottom="0.3937007874015748" header="0.1968503937007874" footer="0.1968503937007874"/>
  <pageSetup fitToHeight="1" fitToWidth="1" horizontalDpi="300" verticalDpi="300" orientation="landscape" paperSize="9" scale="79" r:id="rId4"/>
  <headerFooter alignWithMargins="0">
    <oddFooter xml:space="preserve">&amp;C&amp;"Arial Cyr,полужирный"- 1 -&amp;R&amp;"Arial Cyr,полужирный"Воробьев А.В.     &amp;D     &amp;T               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30" sqref="A30"/>
    </sheetView>
  </sheetViews>
  <sheetFormatPr defaultColWidth="9.00390625" defaultRowHeight="12.75"/>
  <cols>
    <col min="1" max="1" width="42.125" style="0" bestFit="1" customWidth="1"/>
    <col min="2" max="2" width="7.875" style="0" customWidth="1"/>
    <col min="3" max="3" width="14.125" style="0" bestFit="1" customWidth="1"/>
    <col min="5" max="5" width="42.125" style="0" bestFit="1" customWidth="1"/>
    <col min="7" max="7" width="14.125" style="0" bestFit="1" customWidth="1"/>
  </cols>
  <sheetData>
    <row r="1" spans="1:7" ht="37.5" customHeight="1">
      <c r="A1" s="592" t="s">
        <v>276</v>
      </c>
      <c r="B1" s="592"/>
      <c r="C1" s="592"/>
      <c r="D1" s="525"/>
      <c r="E1" s="525"/>
      <c r="F1" s="525"/>
      <c r="G1" s="525"/>
    </row>
    <row r="2" ht="20.25" thickBot="1">
      <c r="A2" s="591" t="s">
        <v>275</v>
      </c>
    </row>
    <row r="3" spans="1:4" ht="15" thickBot="1">
      <c r="A3" s="588" t="s">
        <v>110</v>
      </c>
      <c r="B3" s="589"/>
      <c r="C3" s="590"/>
      <c r="D3" s="44"/>
    </row>
    <row r="4" spans="1:3" ht="12.75">
      <c r="A4" s="78" t="s">
        <v>91</v>
      </c>
      <c r="B4" s="21" t="s">
        <v>25</v>
      </c>
      <c r="C4" s="79">
        <f>'Проект-1'!D35</f>
        <v>2.5</v>
      </c>
    </row>
    <row r="5" spans="1:3" ht="14.25">
      <c r="A5" s="80" t="s">
        <v>92</v>
      </c>
      <c r="B5" s="6" t="s">
        <v>56</v>
      </c>
      <c r="C5" s="81">
        <f>'Проект-1'!D20</f>
        <v>2</v>
      </c>
    </row>
    <row r="6" spans="1:3" ht="12.75">
      <c r="A6" s="80" t="s">
        <v>93</v>
      </c>
      <c r="B6" s="6" t="s">
        <v>23</v>
      </c>
      <c r="C6" s="102" t="str">
        <f>'Проект-1'!C9</f>
        <v>ZA</v>
      </c>
    </row>
    <row r="7" spans="1:3" ht="12.75">
      <c r="A7" s="80" t="s">
        <v>94</v>
      </c>
      <c r="B7" s="12" t="s">
        <v>63</v>
      </c>
      <c r="C7" s="82">
        <f>'Проект-1'!J3</f>
        <v>14.036243467926479</v>
      </c>
    </row>
    <row r="8" spans="1:3" ht="12.75">
      <c r="A8" s="80" t="s">
        <v>95</v>
      </c>
      <c r="B8" s="6" t="s">
        <v>23</v>
      </c>
      <c r="C8" s="84" t="s">
        <v>74</v>
      </c>
    </row>
    <row r="9" spans="1:3" ht="12.75">
      <c r="A9" s="80" t="s">
        <v>96</v>
      </c>
      <c r="B9" s="6" t="s">
        <v>23</v>
      </c>
      <c r="C9" s="84" t="s">
        <v>98</v>
      </c>
    </row>
    <row r="10" spans="1:3" ht="13.5" thickBot="1">
      <c r="A10" s="92" t="s">
        <v>99</v>
      </c>
      <c r="B10" s="28" t="s">
        <v>23</v>
      </c>
      <c r="C10" s="99" t="str">
        <f>'Проект-1'!J20</f>
        <v>9-D</v>
      </c>
    </row>
    <row r="11" spans="1:3" ht="14.25">
      <c r="A11" s="94" t="s">
        <v>47</v>
      </c>
      <c r="B11" s="90" t="s">
        <v>49</v>
      </c>
      <c r="C11" s="95">
        <f>'Проект-1'!J30</f>
        <v>20</v>
      </c>
    </row>
    <row r="12" spans="1:3" ht="14.25">
      <c r="A12" s="80" t="s">
        <v>97</v>
      </c>
      <c r="B12" s="6" t="s">
        <v>65</v>
      </c>
      <c r="C12" s="82">
        <f>PI()*C4*C5</f>
        <v>15.707963267948966</v>
      </c>
    </row>
    <row r="13" spans="1:3" ht="14.25">
      <c r="A13" s="85" t="s">
        <v>38</v>
      </c>
      <c r="B13" s="6" t="s">
        <v>101</v>
      </c>
      <c r="C13" s="593">
        <f>'Проект-1'!D32</f>
        <v>50</v>
      </c>
    </row>
    <row r="14" spans="1:3" ht="12.75">
      <c r="A14" s="80" t="s">
        <v>46</v>
      </c>
      <c r="B14" s="6" t="s">
        <v>26</v>
      </c>
      <c r="C14" s="82">
        <f>'Проект-1'!D37</f>
        <v>8</v>
      </c>
    </row>
    <row r="15" spans="1:7" ht="15" thickBot="1">
      <c r="A15" s="87" t="s">
        <v>102</v>
      </c>
      <c r="B15" s="28" t="s">
        <v>57</v>
      </c>
      <c r="C15" s="99">
        <f>'Проект-1'!D21</f>
        <v>32</v>
      </c>
      <c r="E15" s="75"/>
      <c r="F15" s="76"/>
      <c r="G15" s="77"/>
    </row>
    <row r="16" ht="13.5" thickBot="1"/>
    <row r="17" spans="1:3" ht="15" thickBot="1">
      <c r="A17" s="588" t="s">
        <v>111</v>
      </c>
      <c r="B17" s="589"/>
      <c r="C17" s="590"/>
    </row>
    <row r="18" spans="1:3" ht="12.75">
      <c r="A18" s="78" t="s">
        <v>91</v>
      </c>
      <c r="B18" s="21" t="s">
        <v>25</v>
      </c>
      <c r="C18" s="79">
        <f>'Проект-1'!D35</f>
        <v>2.5</v>
      </c>
    </row>
    <row r="19" spans="1:3" ht="14.25">
      <c r="A19" s="80" t="s">
        <v>103</v>
      </c>
      <c r="B19" s="6" t="s">
        <v>57</v>
      </c>
      <c r="C19" s="81">
        <f>'Проект-1'!D21</f>
        <v>32</v>
      </c>
    </row>
    <row r="20" spans="1:3" ht="12.75">
      <c r="A20" s="80" t="s">
        <v>104</v>
      </c>
      <c r="B20" s="12" t="s">
        <v>77</v>
      </c>
      <c r="C20" s="82">
        <f>'Проект-1'!J3</f>
        <v>14.036243467926479</v>
      </c>
    </row>
    <row r="21" spans="1:3" ht="12.75">
      <c r="A21" s="80" t="s">
        <v>105</v>
      </c>
      <c r="B21" s="6" t="s">
        <v>23</v>
      </c>
      <c r="C21" s="84" t="s">
        <v>74</v>
      </c>
    </row>
    <row r="22" spans="1:3" ht="12.75">
      <c r="A22" s="80" t="s">
        <v>106</v>
      </c>
      <c r="B22" s="6" t="s">
        <v>55</v>
      </c>
      <c r="C22" s="82">
        <f>'Проект-1'!D38</f>
        <v>0</v>
      </c>
    </row>
    <row r="23" spans="1:3" ht="12.75">
      <c r="A23" s="80" t="s">
        <v>107</v>
      </c>
      <c r="B23" s="6" t="s">
        <v>23</v>
      </c>
      <c r="C23" s="84" t="s">
        <v>98</v>
      </c>
    </row>
    <row r="24" spans="1:3" ht="13.5" thickBot="1">
      <c r="A24" s="92" t="s">
        <v>99</v>
      </c>
      <c r="B24" s="28" t="s">
        <v>23</v>
      </c>
      <c r="C24" s="99" t="str">
        <f>'Проект-1'!J20</f>
        <v>9-D</v>
      </c>
    </row>
    <row r="25" spans="1:3" ht="14.25">
      <c r="A25" s="89" t="s">
        <v>38</v>
      </c>
      <c r="B25" s="90" t="s">
        <v>101</v>
      </c>
      <c r="C25" s="91">
        <f>'Проект-1'!D32</f>
        <v>50</v>
      </c>
    </row>
    <row r="26" spans="1:3" ht="14.25">
      <c r="A26" s="80" t="s">
        <v>78</v>
      </c>
      <c r="B26" s="6" t="s">
        <v>79</v>
      </c>
      <c r="C26" s="82">
        <f>'Проект-1'!J6</f>
        <v>80</v>
      </c>
    </row>
    <row r="27" spans="1:3" ht="12.75">
      <c r="A27" s="80" t="s">
        <v>108</v>
      </c>
      <c r="B27" s="6" t="s">
        <v>23</v>
      </c>
      <c r="C27" s="101" t="str">
        <f>'Проект-1'!C9</f>
        <v>ZA</v>
      </c>
    </row>
    <row r="28" spans="1:3" ht="15" thickBot="1">
      <c r="A28" s="87" t="s">
        <v>280</v>
      </c>
      <c r="B28" s="28" t="s">
        <v>56</v>
      </c>
      <c r="C28" s="99">
        <f>'Проект-1'!D20</f>
        <v>2</v>
      </c>
    </row>
  </sheetData>
  <sheetProtection sheet="1" objects="1" scenarios="1"/>
  <mergeCells count="3">
    <mergeCell ref="A3:C3"/>
    <mergeCell ref="A17:C17"/>
    <mergeCell ref="A1:C1"/>
  </mergeCells>
  <printOptions/>
  <pageMargins left="0.7874015748031497" right="0.1968503937007874" top="0.7874015748031497" bottom="0.3937007874015748" header="0.1968503937007874" footer="0.1968503937007874"/>
  <pageSetup horizontalDpi="600" verticalDpi="600" orientation="landscape" paperSize="9" r:id="rId1"/>
  <headerFooter alignWithMargins="0">
    <oddFooter>&amp;C&amp;"Arial Cyr,полужирный"- 2 -&amp;R&amp;"Arial Cyr,полужирный"Воробьев А.В.     &amp;D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2"/>
  <sheetViews>
    <sheetView zoomScale="90" zoomScaleNormal="90" workbookViewId="0" topLeftCell="A1">
      <selection activeCell="A40" sqref="A40"/>
    </sheetView>
  </sheetViews>
  <sheetFormatPr defaultColWidth="9.00390625" defaultRowHeight="12.75"/>
  <cols>
    <col min="1" max="1" width="3.25390625" style="0" customWidth="1"/>
    <col min="2" max="2" width="44.25390625" style="0" customWidth="1"/>
    <col min="3" max="3" width="7.00390625" style="0" customWidth="1"/>
    <col min="4" max="4" width="8.375" style="0" bestFit="1" customWidth="1"/>
    <col min="5" max="5" width="7.375" style="0" bestFit="1" customWidth="1"/>
    <col min="6" max="6" width="1.12109375" style="0" customWidth="1"/>
    <col min="7" max="7" width="3.25390625" style="0" bestFit="1" customWidth="1"/>
    <col min="8" max="8" width="47.125" style="0" customWidth="1"/>
    <col min="9" max="9" width="7.00390625" style="0" bestFit="1" customWidth="1"/>
    <col min="10" max="10" width="8.375" style="0" customWidth="1"/>
    <col min="11" max="11" width="5.25390625" style="0" bestFit="1" customWidth="1"/>
    <col min="13" max="13" width="15.75390625" style="0" bestFit="1" customWidth="1"/>
    <col min="14" max="14" width="9.25390625" style="0" bestFit="1" customWidth="1"/>
    <col min="15" max="15" width="24.875" style="0" bestFit="1" customWidth="1"/>
    <col min="16" max="17" width="5.00390625" style="0" bestFit="1" customWidth="1"/>
    <col min="20" max="20" width="3.625" style="0" bestFit="1" customWidth="1"/>
    <col min="21" max="21" width="5.75390625" style="0" bestFit="1" customWidth="1"/>
    <col min="22" max="22" width="4.875" style="0" bestFit="1" customWidth="1"/>
    <col min="23" max="23" width="4.00390625" style="0" bestFit="1" customWidth="1"/>
    <col min="24" max="24" width="6.00390625" style="0" bestFit="1" customWidth="1"/>
    <col min="25" max="25" width="7.125" style="98" bestFit="1" customWidth="1"/>
    <col min="26" max="26" width="6.00390625" style="98" customWidth="1"/>
    <col min="27" max="27" width="5.625" style="0" bestFit="1" customWidth="1"/>
    <col min="28" max="28" width="7.125" style="0" bestFit="1" customWidth="1"/>
    <col min="29" max="29" width="4.875" style="0" bestFit="1" customWidth="1"/>
  </cols>
  <sheetData>
    <row r="1" spans="1:29" ht="15.75" customHeight="1">
      <c r="A1" s="557" t="s">
        <v>273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156"/>
      <c r="M1" s="544" t="s">
        <v>228</v>
      </c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157"/>
      <c r="AB1" s="152"/>
      <c r="AC1" s="152"/>
    </row>
    <row r="2" spans="1:29" ht="15.75" customHeight="1" thickBot="1">
      <c r="A2" s="158"/>
      <c r="B2" s="158"/>
      <c r="C2" s="158"/>
      <c r="D2" s="158"/>
      <c r="E2" s="158"/>
      <c r="F2" s="158"/>
      <c r="G2" s="154"/>
      <c r="H2" s="154"/>
      <c r="I2" s="154"/>
      <c r="J2" s="154"/>
      <c r="K2" s="154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9"/>
      <c r="X2" s="159"/>
      <c r="Y2" s="159"/>
      <c r="Z2" s="159"/>
      <c r="AA2" s="159"/>
      <c r="AB2" s="98"/>
      <c r="AC2" s="98"/>
    </row>
    <row r="3" spans="1:27" ht="17.25" customHeight="1" thickBot="1">
      <c r="A3" s="558" t="s">
        <v>185</v>
      </c>
      <c r="B3" s="559"/>
      <c r="C3" s="559"/>
      <c r="D3" s="559"/>
      <c r="E3" s="560"/>
      <c r="F3" s="161"/>
      <c r="G3" s="449">
        <v>15</v>
      </c>
      <c r="H3" s="450" t="s">
        <v>241</v>
      </c>
      <c r="I3" s="451" t="s">
        <v>55</v>
      </c>
      <c r="J3" s="452">
        <f>D16/D14-(D15+D13)/2</f>
        <v>0</v>
      </c>
      <c r="K3" s="453"/>
      <c r="L3" s="158"/>
      <c r="M3" s="167" t="s">
        <v>211</v>
      </c>
      <c r="N3" s="167" t="s">
        <v>257</v>
      </c>
      <c r="O3" s="169" t="s">
        <v>213</v>
      </c>
      <c r="P3" s="169" t="s">
        <v>269</v>
      </c>
      <c r="Q3" s="170" t="s">
        <v>270</v>
      </c>
      <c r="R3" s="170" t="s">
        <v>260</v>
      </c>
      <c r="S3" s="172" t="s">
        <v>261</v>
      </c>
      <c r="T3" s="555" t="s">
        <v>199</v>
      </c>
      <c r="U3" s="556"/>
      <c r="V3" s="171" t="s">
        <v>268</v>
      </c>
      <c r="W3" s="551" t="s">
        <v>271</v>
      </c>
      <c r="X3" s="552"/>
      <c r="Y3" s="551" t="s">
        <v>272</v>
      </c>
      <c r="Z3" s="552"/>
      <c r="AA3" s="158"/>
    </row>
    <row r="4" spans="1:27" ht="17.25" customHeight="1" thickBot="1">
      <c r="A4" s="174"/>
      <c r="B4" s="175"/>
      <c r="C4" s="175"/>
      <c r="D4" s="175"/>
      <c r="E4" s="176"/>
      <c r="F4" s="159"/>
      <c r="G4" s="229">
        <v>16</v>
      </c>
      <c r="H4" s="230" t="s">
        <v>126</v>
      </c>
      <c r="I4" s="231" t="s">
        <v>133</v>
      </c>
      <c r="J4" s="232">
        <f>PI()*D26*D22/60/1000</f>
        <v>0.3926990816987242</v>
      </c>
      <c r="K4" s="233" t="s">
        <v>13</v>
      </c>
      <c r="L4" s="182"/>
      <c r="M4" s="183" t="s">
        <v>7</v>
      </c>
      <c r="N4" s="183" t="s">
        <v>7</v>
      </c>
      <c r="O4" s="548" t="s">
        <v>7</v>
      </c>
      <c r="P4" s="550"/>
      <c r="Q4" s="549"/>
      <c r="R4" s="183" t="s">
        <v>7</v>
      </c>
      <c r="S4" s="183" t="s">
        <v>7</v>
      </c>
      <c r="T4" s="184"/>
      <c r="U4" s="185"/>
      <c r="V4" s="186"/>
      <c r="W4" s="191"/>
      <c r="X4" s="192"/>
      <c r="Y4" s="191"/>
      <c r="Z4" s="192"/>
      <c r="AA4" s="158"/>
    </row>
    <row r="5" spans="1:27" ht="17.25" customHeight="1" thickBot="1">
      <c r="A5" s="194">
        <v>1</v>
      </c>
      <c r="B5" s="185" t="s">
        <v>31</v>
      </c>
      <c r="C5" s="571" t="s">
        <v>32</v>
      </c>
      <c r="D5" s="572"/>
      <c r="E5" s="573"/>
      <c r="F5" s="196"/>
      <c r="G5" s="261">
        <v>17</v>
      </c>
      <c r="H5" s="262" t="s">
        <v>233</v>
      </c>
      <c r="I5" s="226" t="s">
        <v>128</v>
      </c>
      <c r="J5" s="263">
        <f>IF(J4&lt;3,1,1.2)</f>
        <v>1</v>
      </c>
      <c r="K5" s="264"/>
      <c r="L5" s="182"/>
      <c r="M5" s="118">
        <v>2</v>
      </c>
      <c r="N5" s="118">
        <v>3</v>
      </c>
      <c r="O5" s="538">
        <v>6</v>
      </c>
      <c r="P5" s="543"/>
      <c r="Q5" s="539"/>
      <c r="R5" s="153">
        <v>2</v>
      </c>
      <c r="S5" s="118">
        <v>10</v>
      </c>
      <c r="T5" s="199"/>
      <c r="U5" s="200"/>
      <c r="V5" s="201"/>
      <c r="W5" s="206"/>
      <c r="X5" s="207"/>
      <c r="Y5" s="206"/>
      <c r="Z5" s="207"/>
      <c r="AA5" s="158"/>
    </row>
    <row r="6" spans="1:27" ht="17.25" customHeight="1" thickBot="1">
      <c r="A6" s="208">
        <v>2</v>
      </c>
      <c r="B6" s="209" t="s">
        <v>253</v>
      </c>
      <c r="C6" s="533" t="str">
        <f>INDEX(M7:M8,M5)</f>
        <v>Нереверсивный</v>
      </c>
      <c r="D6" s="534"/>
      <c r="E6" s="535"/>
      <c r="F6" s="196"/>
      <c r="G6" s="261">
        <v>18</v>
      </c>
      <c r="H6" s="292" t="s">
        <v>127</v>
      </c>
      <c r="I6" s="226" t="s">
        <v>129</v>
      </c>
      <c r="J6" s="263">
        <f>1</f>
        <v>1</v>
      </c>
      <c r="K6" s="264"/>
      <c r="L6" s="182"/>
      <c r="M6" s="215" t="s">
        <v>256</v>
      </c>
      <c r="N6" s="215" t="s">
        <v>8</v>
      </c>
      <c r="O6" s="217" t="s">
        <v>16</v>
      </c>
      <c r="P6" s="218" t="s">
        <v>18</v>
      </c>
      <c r="Q6" s="219" t="s">
        <v>19</v>
      </c>
      <c r="R6" s="469" t="s">
        <v>259</v>
      </c>
      <c r="S6" s="217" t="s">
        <v>25</v>
      </c>
      <c r="T6" s="220" t="s">
        <v>132</v>
      </c>
      <c r="U6" s="220" t="s">
        <v>187</v>
      </c>
      <c r="V6" s="220" t="s">
        <v>187</v>
      </c>
      <c r="W6" s="220" t="s">
        <v>201</v>
      </c>
      <c r="X6" s="222" t="s">
        <v>200</v>
      </c>
      <c r="Y6" s="220" t="s">
        <v>132</v>
      </c>
      <c r="Z6" s="223" t="s">
        <v>196</v>
      </c>
      <c r="AA6" s="158"/>
    </row>
    <row r="7" spans="1:27" ht="17.25" customHeight="1" thickBot="1">
      <c r="A7" s="306">
        <v>3</v>
      </c>
      <c r="B7" s="200" t="s">
        <v>168</v>
      </c>
      <c r="C7" s="470" t="s">
        <v>8</v>
      </c>
      <c r="D7" s="518">
        <f>INDEX(N7:N11,N5)</f>
        <v>7</v>
      </c>
      <c r="E7" s="471" t="s">
        <v>169</v>
      </c>
      <c r="F7" s="228"/>
      <c r="G7" s="316">
        <v>19</v>
      </c>
      <c r="H7" s="317" t="s">
        <v>134</v>
      </c>
      <c r="I7" s="318" t="s">
        <v>160</v>
      </c>
      <c r="J7" s="319">
        <f>IF(OR(O5=1,O5=2,O5=3,O5=4,O5=5),0.9*D33*D29*D31,IF(OR(O5=6,O5=7,O5=8),300-25*D28,200-35*D28))</f>
        <v>259.52150517682753</v>
      </c>
      <c r="K7" s="320" t="s">
        <v>22</v>
      </c>
      <c r="L7" s="182"/>
      <c r="M7" s="472" t="s">
        <v>254</v>
      </c>
      <c r="N7" s="235">
        <v>3</v>
      </c>
      <c r="O7" s="238" t="s">
        <v>171</v>
      </c>
      <c r="P7" s="239">
        <v>285</v>
      </c>
      <c r="Q7" s="473">
        <v>165</v>
      </c>
      <c r="R7" s="474">
        <v>1</v>
      </c>
      <c r="S7" s="475">
        <v>0.8</v>
      </c>
      <c r="T7" s="476">
        <v>1</v>
      </c>
      <c r="U7" s="195">
        <v>1.33</v>
      </c>
      <c r="V7" s="241">
        <f>0.0067*T7^2-0.1364*T7+1.4584</f>
        <v>1.3287</v>
      </c>
      <c r="W7" s="477">
        <v>32</v>
      </c>
      <c r="X7" s="247">
        <v>1.71</v>
      </c>
      <c r="Y7" s="248">
        <v>0.01</v>
      </c>
      <c r="Z7" s="249">
        <v>6.8</v>
      </c>
      <c r="AA7" s="158"/>
    </row>
    <row r="8" spans="1:27" ht="17.25" customHeight="1" thickBot="1">
      <c r="A8" s="289">
        <v>4</v>
      </c>
      <c r="B8" s="290" t="s">
        <v>33</v>
      </c>
      <c r="C8" s="536" t="s">
        <v>34</v>
      </c>
      <c r="D8" s="537"/>
      <c r="E8" s="526"/>
      <c r="F8" s="159"/>
      <c r="G8" s="316">
        <v>20</v>
      </c>
      <c r="H8" s="317" t="s">
        <v>136</v>
      </c>
      <c r="I8" s="328" t="s">
        <v>161</v>
      </c>
      <c r="J8" s="319">
        <f>(5400*(D15+2*J3)/D13)*(((D13+D15+2*J3)/((D15+2*J3)*D16))^3*J6*J5*J24)^0.5</f>
        <v>259.52150517682753</v>
      </c>
      <c r="K8" s="320" t="s">
        <v>22</v>
      </c>
      <c r="L8" s="182"/>
      <c r="M8" s="478" t="s">
        <v>255</v>
      </c>
      <c r="N8" s="266">
        <v>5</v>
      </c>
      <c r="O8" s="269" t="s">
        <v>172</v>
      </c>
      <c r="P8" s="270">
        <v>215</v>
      </c>
      <c r="Q8" s="479">
        <v>140</v>
      </c>
      <c r="R8" s="480">
        <v>2</v>
      </c>
      <c r="S8" s="481">
        <v>1</v>
      </c>
      <c r="T8" s="482">
        <v>2</v>
      </c>
      <c r="U8" s="272">
        <v>1.21</v>
      </c>
      <c r="V8" s="273">
        <f aca="true" t="shared" si="0" ref="V8:V14">0.0067*T8^2-0.1364*T8+1.4584</f>
        <v>1.2124</v>
      </c>
      <c r="W8" s="366">
        <v>33</v>
      </c>
      <c r="X8" s="280">
        <f>X7-0.07/3</f>
        <v>1.6866666666666665</v>
      </c>
      <c r="Y8" s="281">
        <v>0.015</v>
      </c>
      <c r="Z8" s="282">
        <f aca="true" t="shared" si="1" ref="Z8:Z20">Z7-1.6/18</f>
        <v>6.711111111111111</v>
      </c>
      <c r="AA8" s="158"/>
    </row>
    <row r="9" spans="1:27" ht="17.25" customHeight="1" thickBot="1">
      <c r="A9" s="267">
        <v>5</v>
      </c>
      <c r="B9" s="483" t="s">
        <v>14</v>
      </c>
      <c r="C9" s="527" t="s">
        <v>166</v>
      </c>
      <c r="D9" s="528"/>
      <c r="E9" s="529"/>
      <c r="F9" s="291"/>
      <c r="G9" s="210">
        <v>21</v>
      </c>
      <c r="H9" s="330" t="s">
        <v>210</v>
      </c>
      <c r="I9" s="331" t="s">
        <v>229</v>
      </c>
      <c r="J9" s="332">
        <f>(J8-J7)/J7*100</f>
        <v>0</v>
      </c>
      <c r="K9" s="214" t="s">
        <v>137</v>
      </c>
      <c r="L9" s="182"/>
      <c r="M9" s="158"/>
      <c r="N9" s="266">
        <v>7</v>
      </c>
      <c r="O9" s="269" t="s">
        <v>173</v>
      </c>
      <c r="P9" s="270">
        <v>250</v>
      </c>
      <c r="Q9" s="479">
        <v>200</v>
      </c>
      <c r="R9" s="480">
        <v>3</v>
      </c>
      <c r="S9" s="484">
        <v>1.25</v>
      </c>
      <c r="T9" s="482">
        <v>3</v>
      </c>
      <c r="U9" s="272">
        <v>1.11</v>
      </c>
      <c r="V9" s="273">
        <f t="shared" si="0"/>
        <v>1.1095</v>
      </c>
      <c r="W9" s="366">
        <v>34</v>
      </c>
      <c r="X9" s="280">
        <f>X8-0.07/3</f>
        <v>1.663333333333333</v>
      </c>
      <c r="Y9" s="281">
        <v>0.02</v>
      </c>
      <c r="Z9" s="282">
        <f t="shared" si="1"/>
        <v>6.622222222222223</v>
      </c>
      <c r="AA9" s="158"/>
    </row>
    <row r="10" spans="1:27" ht="17.25" customHeight="1" thickBot="1">
      <c r="A10" s="306">
        <v>6</v>
      </c>
      <c r="B10" s="200" t="s">
        <v>15</v>
      </c>
      <c r="C10" s="530" t="str">
        <f>INDEX(O7:O18,O5)</f>
        <v>БрА9Ж3Л (песч. форма)</v>
      </c>
      <c r="D10" s="569"/>
      <c r="E10" s="570"/>
      <c r="F10" s="291"/>
      <c r="G10" s="336">
        <v>22</v>
      </c>
      <c r="H10" s="230" t="s">
        <v>144</v>
      </c>
      <c r="I10" s="337" t="s">
        <v>145</v>
      </c>
      <c r="J10" s="338">
        <f>D13/(COS(D24/180*PI()))^3</f>
        <v>35.04639781775011</v>
      </c>
      <c r="K10" s="186"/>
      <c r="L10" s="182"/>
      <c r="M10" s="158"/>
      <c r="N10" s="266">
        <v>10</v>
      </c>
      <c r="O10" s="269" t="s">
        <v>174</v>
      </c>
      <c r="P10" s="270">
        <v>150</v>
      </c>
      <c r="Q10" s="479">
        <v>80</v>
      </c>
      <c r="R10" s="485">
        <v>4</v>
      </c>
      <c r="S10" s="486">
        <v>1.375</v>
      </c>
      <c r="T10" s="482">
        <v>4</v>
      </c>
      <c r="U10" s="272">
        <v>1.02</v>
      </c>
      <c r="V10" s="273">
        <f t="shared" si="0"/>
        <v>1.02</v>
      </c>
      <c r="W10" s="378">
        <v>35</v>
      </c>
      <c r="X10" s="305">
        <v>1.64</v>
      </c>
      <c r="Y10" s="281">
        <v>0.025</v>
      </c>
      <c r="Z10" s="282">
        <f t="shared" si="1"/>
        <v>6.533333333333334</v>
      </c>
      <c r="AA10" s="158"/>
    </row>
    <row r="11" spans="1:27" ht="17.25" customHeight="1" thickBot="1">
      <c r="A11" s="312">
        <v>7</v>
      </c>
      <c r="B11" s="313" t="s">
        <v>4</v>
      </c>
      <c r="C11" s="314" t="s">
        <v>167</v>
      </c>
      <c r="D11" s="151">
        <v>1500</v>
      </c>
      <c r="E11" s="315" t="s">
        <v>6</v>
      </c>
      <c r="F11" s="159"/>
      <c r="G11" s="341">
        <v>23</v>
      </c>
      <c r="H11" s="292" t="s">
        <v>146</v>
      </c>
      <c r="I11" s="226" t="s">
        <v>147</v>
      </c>
      <c r="J11" s="342">
        <f>LOOKUP(J10,W7:W55,X7:X55)</f>
        <v>1.64</v>
      </c>
      <c r="K11" s="264"/>
      <c r="L11" s="182"/>
      <c r="M11" s="158"/>
      <c r="N11" s="309">
        <v>15</v>
      </c>
      <c r="O11" s="310" t="s">
        <v>175</v>
      </c>
      <c r="P11" s="259">
        <v>200</v>
      </c>
      <c r="Q11" s="487">
        <v>90</v>
      </c>
      <c r="R11" s="228"/>
      <c r="S11" s="488">
        <v>1.5</v>
      </c>
      <c r="T11" s="482">
        <v>5</v>
      </c>
      <c r="U11" s="272">
        <v>0.95</v>
      </c>
      <c r="V11" s="273">
        <f t="shared" si="0"/>
        <v>0.9439</v>
      </c>
      <c r="W11" s="366">
        <v>36</v>
      </c>
      <c r="X11" s="280">
        <v>1.625</v>
      </c>
      <c r="Y11" s="281">
        <v>0.03</v>
      </c>
      <c r="Z11" s="282">
        <f t="shared" si="1"/>
        <v>6.4444444444444455</v>
      </c>
      <c r="AA11" s="158"/>
    </row>
    <row r="12" spans="1:27" ht="17.25" customHeight="1">
      <c r="A12" s="489">
        <v>8</v>
      </c>
      <c r="B12" s="368" t="s">
        <v>0</v>
      </c>
      <c r="C12" s="369" t="s">
        <v>119</v>
      </c>
      <c r="D12" s="519">
        <f>INDEX(R7:R10,R5)</f>
        <v>2</v>
      </c>
      <c r="E12" s="371"/>
      <c r="F12" s="196"/>
      <c r="G12" s="316">
        <v>24</v>
      </c>
      <c r="H12" s="348" t="s">
        <v>149</v>
      </c>
      <c r="I12" s="318" t="s">
        <v>263</v>
      </c>
      <c r="J12" s="319">
        <f>IF(OR(O5=1,O5=2,O5=3,O5=4,O5=5,O5=6,O5=7,O5=8),D27*(0.25*D34+0.08*D33)*D32,D27*0.1*D33)</f>
        <v>49.217999910182165</v>
      </c>
      <c r="K12" s="320" t="s">
        <v>22</v>
      </c>
      <c r="L12" s="182"/>
      <c r="M12" s="158"/>
      <c r="N12" s="158"/>
      <c r="O12" s="321" t="s">
        <v>176</v>
      </c>
      <c r="P12" s="322">
        <v>390</v>
      </c>
      <c r="Q12" s="490">
        <v>195</v>
      </c>
      <c r="R12" s="228"/>
      <c r="S12" s="491">
        <v>1.6</v>
      </c>
      <c r="T12" s="482">
        <v>6</v>
      </c>
      <c r="U12" s="272">
        <v>0.88</v>
      </c>
      <c r="V12" s="273">
        <f t="shared" si="0"/>
        <v>0.8811999999999999</v>
      </c>
      <c r="W12" s="378">
        <v>37</v>
      </c>
      <c r="X12" s="305">
        <v>1.61</v>
      </c>
      <c r="Y12" s="281">
        <v>0.035</v>
      </c>
      <c r="Z12" s="282">
        <f t="shared" si="1"/>
        <v>6.355555555555557</v>
      </c>
      <c r="AA12" s="158"/>
    </row>
    <row r="13" spans="1:27" ht="17.25" customHeight="1" thickBot="1">
      <c r="A13" s="492">
        <v>9</v>
      </c>
      <c r="B13" s="380" t="s">
        <v>1</v>
      </c>
      <c r="C13" s="493" t="s">
        <v>262</v>
      </c>
      <c r="D13" s="520">
        <v>32</v>
      </c>
      <c r="E13" s="383"/>
      <c r="F13" s="196"/>
      <c r="G13" s="316">
        <v>25</v>
      </c>
      <c r="H13" s="317" t="s">
        <v>148</v>
      </c>
      <c r="I13" s="328" t="s">
        <v>162</v>
      </c>
      <c r="J13" s="319">
        <f>J20*J6*J5*COS(D24/180*PI())*J11/1.3/(D14^2)/(D15+2*J3)</f>
        <v>22.614406603899116</v>
      </c>
      <c r="K13" s="320" t="s">
        <v>22</v>
      </c>
      <c r="L13" s="329"/>
      <c r="M13" s="158"/>
      <c r="N13" s="158"/>
      <c r="O13" s="269" t="s">
        <v>177</v>
      </c>
      <c r="P13" s="270">
        <v>490</v>
      </c>
      <c r="Q13" s="479">
        <v>235</v>
      </c>
      <c r="R13" s="228"/>
      <c r="S13" s="494">
        <v>1.75</v>
      </c>
      <c r="T13" s="482">
        <v>7</v>
      </c>
      <c r="U13" s="272">
        <v>0.83</v>
      </c>
      <c r="V13" s="273">
        <f t="shared" si="0"/>
        <v>0.8319</v>
      </c>
      <c r="W13" s="366">
        <v>38</v>
      </c>
      <c r="X13" s="280">
        <f>X12-0.02</f>
        <v>1.59</v>
      </c>
      <c r="Y13" s="281">
        <v>0.04</v>
      </c>
      <c r="Z13" s="282">
        <f t="shared" si="1"/>
        <v>6.266666666666668</v>
      </c>
      <c r="AA13" s="158"/>
    </row>
    <row r="14" spans="1:27" ht="17.25" customHeight="1" thickBot="1">
      <c r="A14" s="489">
        <v>10</v>
      </c>
      <c r="B14" s="368" t="s">
        <v>41</v>
      </c>
      <c r="C14" s="369" t="s">
        <v>25</v>
      </c>
      <c r="D14" s="521">
        <f>INDEX(S7:S31,S5)</f>
        <v>2.5</v>
      </c>
      <c r="E14" s="371" t="s">
        <v>36</v>
      </c>
      <c r="F14" s="159"/>
      <c r="G14" s="177">
        <v>26</v>
      </c>
      <c r="H14" s="361" t="s">
        <v>209</v>
      </c>
      <c r="I14" s="362" t="s">
        <v>230</v>
      </c>
      <c r="J14" s="363">
        <f>(J13-J12)/J12*100</f>
        <v>-54.052568887057376</v>
      </c>
      <c r="K14" s="364" t="s">
        <v>137</v>
      </c>
      <c r="L14" s="182"/>
      <c r="M14" s="158"/>
      <c r="N14" s="158"/>
      <c r="O14" s="310" t="s">
        <v>178</v>
      </c>
      <c r="P14" s="259">
        <v>590</v>
      </c>
      <c r="Q14" s="487">
        <v>275</v>
      </c>
      <c r="R14" s="228"/>
      <c r="S14" s="481">
        <v>2</v>
      </c>
      <c r="T14" s="495">
        <v>8</v>
      </c>
      <c r="U14" s="334">
        <v>0.8</v>
      </c>
      <c r="V14" s="335">
        <f t="shared" si="0"/>
        <v>0.796</v>
      </c>
      <c r="W14" s="366">
        <v>39</v>
      </c>
      <c r="X14" s="280">
        <f>X13-0.02</f>
        <v>1.57</v>
      </c>
      <c r="Y14" s="281">
        <v>0.045</v>
      </c>
      <c r="Z14" s="282">
        <f t="shared" si="1"/>
        <v>6.17777777777778</v>
      </c>
      <c r="AA14" s="158"/>
    </row>
    <row r="15" spans="1:27" ht="17.25" customHeight="1" thickBot="1">
      <c r="A15" s="496">
        <v>11</v>
      </c>
      <c r="B15" s="348" t="s">
        <v>240</v>
      </c>
      <c r="C15" s="497" t="s">
        <v>26</v>
      </c>
      <c r="D15" s="522">
        <v>8</v>
      </c>
      <c r="E15" s="320"/>
      <c r="F15" s="159"/>
      <c r="G15" s="372">
        <v>27</v>
      </c>
      <c r="H15" s="373" t="s">
        <v>235</v>
      </c>
      <c r="I15" s="374"/>
      <c r="J15" s="375" t="str">
        <f>IF(D28&gt;=10,"6-С",IF(D28&gt;=5,"7-С",IF(D28&gt;=2,"8-D","9-D")))</f>
        <v>9-D</v>
      </c>
      <c r="K15" s="376"/>
      <c r="L15" s="182"/>
      <c r="M15" s="158"/>
      <c r="N15" s="158"/>
      <c r="O15" s="321" t="s">
        <v>179</v>
      </c>
      <c r="P15" s="322">
        <v>100</v>
      </c>
      <c r="Q15" s="339" t="s">
        <v>23</v>
      </c>
      <c r="R15" s="498"/>
      <c r="S15" s="494">
        <v>2.25</v>
      </c>
      <c r="T15" s="340"/>
      <c r="U15" s="158"/>
      <c r="V15" s="158"/>
      <c r="W15" s="378">
        <v>40</v>
      </c>
      <c r="X15" s="305">
        <v>1.55</v>
      </c>
      <c r="Y15" s="281">
        <v>0.05</v>
      </c>
      <c r="Z15" s="282">
        <f t="shared" si="1"/>
        <v>6.088888888888891</v>
      </c>
      <c r="AA15" s="158"/>
    </row>
    <row r="16" spans="1:27" ht="17.25" customHeight="1" thickBot="1">
      <c r="A16" s="499">
        <v>12</v>
      </c>
      <c r="B16" s="439" t="s">
        <v>38</v>
      </c>
      <c r="C16" s="440" t="s">
        <v>121</v>
      </c>
      <c r="D16" s="523">
        <v>50</v>
      </c>
      <c r="E16" s="364" t="s">
        <v>36</v>
      </c>
      <c r="F16" s="160"/>
      <c r="G16" s="384">
        <v>28</v>
      </c>
      <c r="H16" s="385" t="s">
        <v>202</v>
      </c>
      <c r="I16" s="386" t="s">
        <v>203</v>
      </c>
      <c r="J16" s="387">
        <f>IF(OR(O5=1,O5=2,O5=3,O5=4,O5=5,O5=6,O5=7,O5=8),(LOOKUP(D28,Y7:Y81,Z7:Z81)),6)</f>
        <v>2.7399999999999998</v>
      </c>
      <c r="K16" s="388" t="s">
        <v>122</v>
      </c>
      <c r="L16" s="182"/>
      <c r="M16" s="158"/>
      <c r="N16" s="158"/>
      <c r="O16" s="269" t="s">
        <v>180</v>
      </c>
      <c r="P16" s="270">
        <v>150</v>
      </c>
      <c r="Q16" s="344" t="s">
        <v>23</v>
      </c>
      <c r="R16" s="498"/>
      <c r="S16" s="491">
        <v>2.5</v>
      </c>
      <c r="T16" s="158"/>
      <c r="U16" s="158"/>
      <c r="V16" s="158"/>
      <c r="W16" s="366">
        <v>41</v>
      </c>
      <c r="X16" s="280">
        <f>X15-0.07/5</f>
        <v>1.536</v>
      </c>
      <c r="Y16" s="281">
        <v>0.055</v>
      </c>
      <c r="Z16" s="282">
        <f t="shared" si="1"/>
        <v>6.000000000000003</v>
      </c>
      <c r="AA16" s="158"/>
    </row>
    <row r="17" spans="1:27" ht="17.25" customHeight="1">
      <c r="A17" s="500"/>
      <c r="B17" s="501"/>
      <c r="C17" s="228"/>
      <c r="D17" s="502"/>
      <c r="E17" s="503"/>
      <c r="F17" s="160"/>
      <c r="G17" s="395">
        <v>29</v>
      </c>
      <c r="H17" s="209" t="s">
        <v>224</v>
      </c>
      <c r="I17" s="209"/>
      <c r="J17" s="396" t="str">
        <f>IF(D24&lt;J16,"да","нет")</f>
        <v>нет</v>
      </c>
      <c r="K17" s="264"/>
      <c r="L17" s="182"/>
      <c r="M17" s="158"/>
      <c r="N17" s="158"/>
      <c r="O17" s="269" t="s">
        <v>181</v>
      </c>
      <c r="P17" s="270">
        <v>180</v>
      </c>
      <c r="Q17" s="344" t="s">
        <v>23</v>
      </c>
      <c r="R17" s="498"/>
      <c r="S17" s="494">
        <v>2.75</v>
      </c>
      <c r="T17" s="158"/>
      <c r="U17" s="158"/>
      <c r="V17" s="158"/>
      <c r="W17" s="366">
        <v>42</v>
      </c>
      <c r="X17" s="280">
        <f>X16-0.07/5</f>
        <v>1.522</v>
      </c>
      <c r="Y17" s="281">
        <v>0.06</v>
      </c>
      <c r="Z17" s="282">
        <f t="shared" si="1"/>
        <v>5.911111111111114</v>
      </c>
      <c r="AA17" s="158"/>
    </row>
    <row r="18" spans="1:27" ht="17.25" customHeight="1" thickBot="1">
      <c r="A18" s="182"/>
      <c r="B18" s="182"/>
      <c r="C18" s="182"/>
      <c r="D18" s="340"/>
      <c r="E18" s="182"/>
      <c r="F18" s="160"/>
      <c r="G18" s="395">
        <v>30</v>
      </c>
      <c r="H18" s="209" t="s">
        <v>225</v>
      </c>
      <c r="I18" s="209"/>
      <c r="J18" s="396" t="str">
        <f>IF((D24*2)&lt;J16,"да","нет")</f>
        <v>нет</v>
      </c>
      <c r="K18" s="264"/>
      <c r="L18" s="182"/>
      <c r="M18" s="158"/>
      <c r="N18" s="158"/>
      <c r="O18" s="310" t="s">
        <v>182</v>
      </c>
      <c r="P18" s="259">
        <v>200</v>
      </c>
      <c r="Q18" s="353" t="s">
        <v>23</v>
      </c>
      <c r="R18" s="498"/>
      <c r="S18" s="504">
        <v>3</v>
      </c>
      <c r="T18" s="158"/>
      <c r="U18" s="158"/>
      <c r="V18" s="158"/>
      <c r="W18" s="366">
        <v>43</v>
      </c>
      <c r="X18" s="280">
        <f>X17-0.07/5</f>
        <v>1.508</v>
      </c>
      <c r="Y18" s="281">
        <v>0.065</v>
      </c>
      <c r="Z18" s="282">
        <f t="shared" si="1"/>
        <v>5.8222222222222255</v>
      </c>
      <c r="AA18" s="158"/>
    </row>
    <row r="19" spans="1:27" ht="17.25" customHeight="1" thickBot="1">
      <c r="A19" s="558" t="s">
        <v>186</v>
      </c>
      <c r="B19" s="559"/>
      <c r="C19" s="559"/>
      <c r="D19" s="559"/>
      <c r="E19" s="560"/>
      <c r="F19" s="160"/>
      <c r="G19" s="210">
        <v>31</v>
      </c>
      <c r="H19" s="211" t="s">
        <v>204</v>
      </c>
      <c r="I19" s="505" t="s">
        <v>138</v>
      </c>
      <c r="J19" s="332">
        <f>TAN(D24/180*PI())/TAN((D24+J16)/180*PI())*100</f>
        <v>82.92824765070338</v>
      </c>
      <c r="K19" s="214" t="s">
        <v>137</v>
      </c>
      <c r="L19" s="182"/>
      <c r="M19" s="158"/>
      <c r="N19" s="158"/>
      <c r="O19" s="158"/>
      <c r="P19" s="158"/>
      <c r="Q19" s="196"/>
      <c r="R19" s="196"/>
      <c r="S19" s="484">
        <v>3.15</v>
      </c>
      <c r="T19" s="158"/>
      <c r="U19" s="158"/>
      <c r="V19" s="158"/>
      <c r="W19" s="366">
        <v>44</v>
      </c>
      <c r="X19" s="280">
        <f>X18-0.07/5</f>
        <v>1.494</v>
      </c>
      <c r="Y19" s="281">
        <v>0.07</v>
      </c>
      <c r="Z19" s="282">
        <f t="shared" si="1"/>
        <v>5.733333333333337</v>
      </c>
      <c r="AA19" s="158"/>
    </row>
    <row r="20" spans="1:27" ht="17.25" customHeight="1" thickBot="1">
      <c r="A20" s="345"/>
      <c r="B20" s="346"/>
      <c r="C20" s="346"/>
      <c r="D20" s="346"/>
      <c r="E20" s="347"/>
      <c r="F20" s="160"/>
      <c r="G20" s="336">
        <v>32</v>
      </c>
      <c r="H20" s="230" t="s">
        <v>163</v>
      </c>
      <c r="I20" s="185" t="s">
        <v>139</v>
      </c>
      <c r="J20" s="394">
        <f>2*J24*1000/D26</f>
        <v>923.887676944391</v>
      </c>
      <c r="K20" s="186" t="s">
        <v>140</v>
      </c>
      <c r="L20" s="182"/>
      <c r="M20" s="158"/>
      <c r="N20" s="158"/>
      <c r="O20" s="158"/>
      <c r="P20" s="158"/>
      <c r="Q20" s="196"/>
      <c r="R20" s="196"/>
      <c r="S20" s="494">
        <v>3.25</v>
      </c>
      <c r="T20" s="158"/>
      <c r="U20" s="158"/>
      <c r="V20" s="158"/>
      <c r="W20" s="378">
        <v>45</v>
      </c>
      <c r="X20" s="305">
        <v>1.48</v>
      </c>
      <c r="Y20" s="281">
        <v>0.075</v>
      </c>
      <c r="Z20" s="282">
        <f t="shared" si="1"/>
        <v>5.644444444444448</v>
      </c>
      <c r="AA20" s="158"/>
    </row>
    <row r="21" spans="1:27" ht="17.25" customHeight="1" thickBot="1">
      <c r="A21" s="506">
        <v>1</v>
      </c>
      <c r="B21" s="290" t="s">
        <v>2</v>
      </c>
      <c r="C21" s="350" t="s">
        <v>3</v>
      </c>
      <c r="D21" s="507">
        <f>D13/D12</f>
        <v>16</v>
      </c>
      <c r="E21" s="352"/>
      <c r="F21" s="160"/>
      <c r="G21" s="395">
        <v>33</v>
      </c>
      <c r="H21" s="292" t="s">
        <v>164</v>
      </c>
      <c r="I21" s="209" t="s">
        <v>141</v>
      </c>
      <c r="J21" s="263">
        <f>2*J23*1000/D25</f>
        <v>278.52019761584666</v>
      </c>
      <c r="K21" s="264" t="s">
        <v>140</v>
      </c>
      <c r="L21" s="182"/>
      <c r="M21" s="389"/>
      <c r="N21" s="158"/>
      <c r="O21" s="158"/>
      <c r="P21" s="158"/>
      <c r="Q21" s="196"/>
      <c r="R21" s="196"/>
      <c r="S21" s="488">
        <v>3.5</v>
      </c>
      <c r="T21" s="158"/>
      <c r="U21" s="158"/>
      <c r="V21" s="158"/>
      <c r="W21" s="366">
        <v>46</v>
      </c>
      <c r="X21" s="280">
        <f>X20-0.03/5</f>
        <v>1.474</v>
      </c>
      <c r="Y21" s="281">
        <v>0.08</v>
      </c>
      <c r="Z21" s="282">
        <f>Z19-1.6/9</f>
        <v>5.555555555555559</v>
      </c>
      <c r="AA21" s="158"/>
    </row>
    <row r="22" spans="1:27" ht="17.25" customHeight="1" thickBot="1">
      <c r="A22" s="356">
        <v>2</v>
      </c>
      <c r="B22" s="357" t="s">
        <v>5</v>
      </c>
      <c r="C22" s="358" t="s">
        <v>118</v>
      </c>
      <c r="D22" s="359">
        <f>D11/D21</f>
        <v>93.75</v>
      </c>
      <c r="E22" s="360" t="s">
        <v>6</v>
      </c>
      <c r="F22" s="160"/>
      <c r="G22" s="395">
        <v>34</v>
      </c>
      <c r="H22" s="397" t="s">
        <v>188</v>
      </c>
      <c r="I22" s="209" t="s">
        <v>189</v>
      </c>
      <c r="J22" s="263">
        <f>J20*TAN(20/180*PI())</f>
        <v>336.2676142131075</v>
      </c>
      <c r="K22" s="264" t="s">
        <v>140</v>
      </c>
      <c r="L22" s="182"/>
      <c r="M22" s="158"/>
      <c r="N22" s="158"/>
      <c r="O22" s="158"/>
      <c r="P22" s="158"/>
      <c r="Q22" s="158"/>
      <c r="R22" s="158"/>
      <c r="S22" s="494">
        <v>3.75</v>
      </c>
      <c r="T22" s="340"/>
      <c r="U22" s="158"/>
      <c r="V22" s="158"/>
      <c r="W22" s="366">
        <v>47</v>
      </c>
      <c r="X22" s="280">
        <f>X21-0.03/5</f>
        <v>1.468</v>
      </c>
      <c r="Y22" s="281">
        <v>0.085</v>
      </c>
      <c r="Z22" s="282">
        <f>Z20-1.6/9</f>
        <v>5.46666666666667</v>
      </c>
      <c r="AA22" s="228"/>
    </row>
    <row r="23" spans="1:27" ht="17.25" customHeight="1">
      <c r="A23" s="162">
        <v>3</v>
      </c>
      <c r="B23" s="163" t="s">
        <v>62</v>
      </c>
      <c r="C23" s="164" t="s">
        <v>63</v>
      </c>
      <c r="D23" s="165">
        <f>DEGREES(ATAN2(D15,D12))</f>
        <v>14.036243467926479</v>
      </c>
      <c r="E23" s="166" t="s">
        <v>122</v>
      </c>
      <c r="F23" s="160"/>
      <c r="G23" s="421">
        <v>35</v>
      </c>
      <c r="H23" s="292" t="s">
        <v>264</v>
      </c>
      <c r="I23" s="422" t="s">
        <v>143</v>
      </c>
      <c r="J23" s="423">
        <f>J24/D21/(J19/100)</f>
        <v>2.7852019761584668</v>
      </c>
      <c r="K23" s="424" t="s">
        <v>12</v>
      </c>
      <c r="L23" s="182"/>
      <c r="M23" s="158"/>
      <c r="N23" s="158"/>
      <c r="O23" s="158"/>
      <c r="P23" s="158"/>
      <c r="Q23" s="158"/>
      <c r="R23" s="158"/>
      <c r="S23" s="481">
        <v>4</v>
      </c>
      <c r="T23" s="340"/>
      <c r="U23" s="158"/>
      <c r="V23" s="158"/>
      <c r="W23" s="366">
        <v>48</v>
      </c>
      <c r="X23" s="280">
        <f>X22-0.03/5</f>
        <v>1.462</v>
      </c>
      <c r="Y23" s="281">
        <v>0.09</v>
      </c>
      <c r="Z23" s="282">
        <f>Z21-1.6/9</f>
        <v>5.377777777777781</v>
      </c>
      <c r="AA23" s="228"/>
    </row>
    <row r="24" spans="1:27" ht="17.25" customHeight="1" thickBot="1">
      <c r="A24" s="177">
        <v>4</v>
      </c>
      <c r="B24" s="178" t="s">
        <v>123</v>
      </c>
      <c r="C24" s="179" t="s">
        <v>194</v>
      </c>
      <c r="D24" s="180">
        <f>DEGREES(ATAN(D12/(D15+2*J3)))</f>
        <v>14.036243467926479</v>
      </c>
      <c r="E24" s="181" t="s">
        <v>122</v>
      </c>
      <c r="F24" s="160"/>
      <c r="G24" s="316">
        <v>36</v>
      </c>
      <c r="H24" s="348" t="s">
        <v>265</v>
      </c>
      <c r="I24" s="318" t="s">
        <v>267</v>
      </c>
      <c r="J24" s="319">
        <f>(J7*D13/5400/(D15+2*J3))^2*(D16*(D15+2*J3)/(D13+D15+2*J3))^3/(J5*J6)</f>
        <v>36.95550707777564</v>
      </c>
      <c r="K24" s="508" t="s">
        <v>12</v>
      </c>
      <c r="L24" s="182"/>
      <c r="M24" s="158"/>
      <c r="N24" s="158"/>
      <c r="O24" s="158"/>
      <c r="P24" s="158"/>
      <c r="Q24" s="158"/>
      <c r="R24" s="158"/>
      <c r="S24" s="488">
        <v>4.5</v>
      </c>
      <c r="T24" s="340"/>
      <c r="U24" s="158"/>
      <c r="V24" s="158"/>
      <c r="W24" s="366">
        <v>49</v>
      </c>
      <c r="X24" s="280">
        <f>X23-0.03/5</f>
        <v>1.456</v>
      </c>
      <c r="Y24" s="281">
        <v>0.095</v>
      </c>
      <c r="Z24" s="282">
        <f>Z22-1.6/9</f>
        <v>5.288888888888892</v>
      </c>
      <c r="AA24" s="228"/>
    </row>
    <row r="25" spans="1:27" ht="17.25" customHeight="1" thickBot="1">
      <c r="A25" s="162">
        <v>5</v>
      </c>
      <c r="B25" s="163" t="s">
        <v>124</v>
      </c>
      <c r="C25" s="197" t="s">
        <v>195</v>
      </c>
      <c r="D25" s="165">
        <f>D14*(D15+2*J3)</f>
        <v>20</v>
      </c>
      <c r="E25" s="198" t="s">
        <v>36</v>
      </c>
      <c r="F25" s="160"/>
      <c r="G25" s="177">
        <v>37</v>
      </c>
      <c r="H25" s="178" t="s">
        <v>266</v>
      </c>
      <c r="I25" s="509" t="s">
        <v>206</v>
      </c>
      <c r="J25" s="510">
        <f>J23*PI()*D11/30/1000</f>
        <v>0.43749850335316065</v>
      </c>
      <c r="K25" s="364" t="s">
        <v>207</v>
      </c>
      <c r="L25" s="182"/>
      <c r="M25" s="158"/>
      <c r="N25" s="228"/>
      <c r="O25" s="158"/>
      <c r="P25" s="158"/>
      <c r="Q25" s="158"/>
      <c r="R25" s="158"/>
      <c r="S25" s="481">
        <v>5</v>
      </c>
      <c r="T25" s="340"/>
      <c r="U25" s="158"/>
      <c r="V25" s="158"/>
      <c r="W25" s="378">
        <v>50</v>
      </c>
      <c r="X25" s="305">
        <v>1.45</v>
      </c>
      <c r="Y25" s="412">
        <v>0.1</v>
      </c>
      <c r="Z25" s="413">
        <v>5.2</v>
      </c>
      <c r="AA25" s="228"/>
    </row>
    <row r="26" spans="1:27" ht="17.25" customHeight="1" thickBot="1">
      <c r="A26" s="210">
        <v>6</v>
      </c>
      <c r="B26" s="211" t="s">
        <v>125</v>
      </c>
      <c r="C26" s="212" t="s">
        <v>130</v>
      </c>
      <c r="D26" s="213">
        <f>D14*D13</f>
        <v>80</v>
      </c>
      <c r="E26" s="214" t="s">
        <v>36</v>
      </c>
      <c r="F26" s="160"/>
      <c r="G26" s="511">
        <v>38</v>
      </c>
      <c r="H26" s="512" t="s">
        <v>47</v>
      </c>
      <c r="I26" s="513" t="s">
        <v>150</v>
      </c>
      <c r="J26" s="514">
        <f>D15*D14</f>
        <v>20</v>
      </c>
      <c r="K26" s="515" t="s">
        <v>36</v>
      </c>
      <c r="L26" s="182"/>
      <c r="M26" s="158"/>
      <c r="N26" s="228"/>
      <c r="O26" s="158"/>
      <c r="P26" s="158"/>
      <c r="Q26" s="158"/>
      <c r="R26" s="158"/>
      <c r="S26" s="491">
        <v>6.3</v>
      </c>
      <c r="T26" s="340"/>
      <c r="U26" s="158"/>
      <c r="V26" s="158"/>
      <c r="W26" s="366">
        <v>51</v>
      </c>
      <c r="X26" s="280">
        <f>X25-0.05/10</f>
        <v>1.445</v>
      </c>
      <c r="Y26" s="414">
        <v>0.11</v>
      </c>
      <c r="Z26" s="415">
        <f>Z25-0.9/15</f>
        <v>5.140000000000001</v>
      </c>
      <c r="AA26" s="228"/>
    </row>
    <row r="27" spans="1:27" ht="17.25" customHeight="1">
      <c r="A27" s="336">
        <v>7</v>
      </c>
      <c r="B27" s="392" t="s">
        <v>238</v>
      </c>
      <c r="C27" s="393" t="s">
        <v>30</v>
      </c>
      <c r="D27" s="394">
        <f>IF(M5=1,0.8,1)</f>
        <v>1</v>
      </c>
      <c r="E27" s="186"/>
      <c r="F27" s="160"/>
      <c r="G27" s="316">
        <v>39</v>
      </c>
      <c r="H27" s="317" t="s">
        <v>43</v>
      </c>
      <c r="I27" s="434" t="s">
        <v>151</v>
      </c>
      <c r="J27" s="435">
        <f>J26+2*D14</f>
        <v>25</v>
      </c>
      <c r="K27" s="320" t="s">
        <v>36</v>
      </c>
      <c r="L27" s="182"/>
      <c r="M27" s="158"/>
      <c r="N27" s="228"/>
      <c r="O27" s="158"/>
      <c r="P27" s="158"/>
      <c r="Q27" s="158"/>
      <c r="R27" s="158"/>
      <c r="S27" s="481">
        <v>8</v>
      </c>
      <c r="T27" s="340"/>
      <c r="U27" s="158"/>
      <c r="V27" s="158"/>
      <c r="W27" s="366">
        <v>52</v>
      </c>
      <c r="X27" s="280">
        <f aca="true" t="shared" si="2" ref="X27:X34">X26-0.05/10</f>
        <v>1.4400000000000002</v>
      </c>
      <c r="Y27" s="414">
        <v>0.12</v>
      </c>
      <c r="Z27" s="415">
        <f aca="true" t="shared" si="3" ref="Z27:Z39">Z26-0.9/15</f>
        <v>5.080000000000001</v>
      </c>
      <c r="AA27" s="228"/>
    </row>
    <row r="28" spans="1:27" ht="17.25" customHeight="1">
      <c r="A28" s="261">
        <v>8</v>
      </c>
      <c r="B28" s="292" t="s">
        <v>131</v>
      </c>
      <c r="C28" s="302" t="s">
        <v>132</v>
      </c>
      <c r="D28" s="263">
        <f>PI()*D14*(D15+2*J3)*D11/60/1000/COS(D24/180*PI())</f>
        <v>1.6191397929268991</v>
      </c>
      <c r="E28" s="264" t="s">
        <v>13</v>
      </c>
      <c r="F28" s="160"/>
      <c r="G28" s="316">
        <v>40</v>
      </c>
      <c r="H28" s="317" t="s">
        <v>50</v>
      </c>
      <c r="I28" s="434" t="s">
        <v>152</v>
      </c>
      <c r="J28" s="435">
        <f>J26-2.4*D14</f>
        <v>14</v>
      </c>
      <c r="K28" s="320" t="s">
        <v>36</v>
      </c>
      <c r="L28" s="182"/>
      <c r="M28" s="158"/>
      <c r="N28" s="228"/>
      <c r="O28" s="158"/>
      <c r="P28" s="158"/>
      <c r="Q28" s="158"/>
      <c r="R28" s="158"/>
      <c r="S28" s="481">
        <v>10</v>
      </c>
      <c r="T28" s="340"/>
      <c r="U28" s="158"/>
      <c r="V28" s="158"/>
      <c r="W28" s="366">
        <v>53</v>
      </c>
      <c r="X28" s="280">
        <f t="shared" si="2"/>
        <v>1.4350000000000003</v>
      </c>
      <c r="Y28" s="414">
        <v>0.13</v>
      </c>
      <c r="Z28" s="415">
        <f t="shared" si="3"/>
        <v>5.020000000000001</v>
      </c>
      <c r="AA28" s="228"/>
    </row>
    <row r="29" spans="1:27" ht="17.25" customHeight="1">
      <c r="A29" s="261">
        <v>9</v>
      </c>
      <c r="B29" s="292" t="s">
        <v>234</v>
      </c>
      <c r="C29" s="307" t="s">
        <v>135</v>
      </c>
      <c r="D29" s="308">
        <f>IF(D28&lt;=1,1.33,IF(D28&gt;=8,0.8,0.0067*D28^2-0.1364*D28+1.4584))</f>
        <v>1.2551141438273345</v>
      </c>
      <c r="E29" s="264"/>
      <c r="F29" s="160"/>
      <c r="G29" s="316">
        <v>41</v>
      </c>
      <c r="H29" s="317" t="s">
        <v>165</v>
      </c>
      <c r="I29" s="434" t="s">
        <v>153</v>
      </c>
      <c r="J29" s="443">
        <f>IF(AND(OR(D12=1,D12=2),AND(J3&gt;-1,J3&lt;=-0.5)),(8+0.06*D13)*D14)+IF(AND(OR(D12=1,D12=2),AND(J3&gt;-0.5,J3&lt;=0)),(11+0.06*D13)*D14)+IF(AND(OR(D12=1,D12=2),AND(J3&gt;0,J3&lt;=0.5)),(11+0.1*D13)*D14)+IF(AND(OR(D12=1,D12=2),AND(J3&gt;0.5,J3&lt;=1)),(12+0.1*D13)*D14)+IF(AND(D12=4,AND(J3&gt;-1,J3&lt;=-0.5)),(9.5+0.09*D13)*D14)+IF(AND(D12=4,AND(J3&gt;-0.5,J3&lt;=0)),(12.5+0.09*D13)*D14)+IF(AND(D12=4,AND(J3&gt;0,J3&lt;=0.5)),(12.5+0.1*D13)*D14)+IF(AND(D12=4,AND(J3&gt;0.5,J3&lt;=1)),(13+0.1*D13)*D14)</f>
        <v>32.3</v>
      </c>
      <c r="K29" s="320" t="s">
        <v>36</v>
      </c>
      <c r="L29" s="182"/>
      <c r="M29" s="158"/>
      <c r="N29" s="228"/>
      <c r="O29" s="158"/>
      <c r="P29" s="158"/>
      <c r="Q29" s="158"/>
      <c r="R29" s="158"/>
      <c r="S29" s="491">
        <v>12.5</v>
      </c>
      <c r="T29" s="340"/>
      <c r="U29" s="158"/>
      <c r="V29" s="158"/>
      <c r="W29" s="366">
        <v>54</v>
      </c>
      <c r="X29" s="280">
        <f t="shared" si="2"/>
        <v>1.4300000000000004</v>
      </c>
      <c r="Y29" s="414">
        <v>0.14</v>
      </c>
      <c r="Z29" s="415">
        <f t="shared" si="3"/>
        <v>4.960000000000002</v>
      </c>
      <c r="AA29" s="228"/>
    </row>
    <row r="30" spans="1:27" ht="17.25" customHeight="1">
      <c r="A30" s="395">
        <v>10</v>
      </c>
      <c r="B30" s="397" t="s">
        <v>9</v>
      </c>
      <c r="C30" s="307" t="s">
        <v>10</v>
      </c>
      <c r="D30" s="406">
        <f>60*2000*D7*D22</f>
        <v>78750000</v>
      </c>
      <c r="E30" s="264" t="s">
        <v>184</v>
      </c>
      <c r="F30" s="160"/>
      <c r="G30" s="316">
        <v>42</v>
      </c>
      <c r="H30" s="317" t="s">
        <v>154</v>
      </c>
      <c r="I30" s="434" t="s">
        <v>155</v>
      </c>
      <c r="J30" s="443">
        <f>D14*(D13+2+2*J3)</f>
        <v>85</v>
      </c>
      <c r="K30" s="320" t="s">
        <v>36</v>
      </c>
      <c r="L30" s="182"/>
      <c r="M30" s="158"/>
      <c r="N30" s="228"/>
      <c r="O30" s="158"/>
      <c r="P30" s="158"/>
      <c r="Q30" s="158"/>
      <c r="R30" s="158"/>
      <c r="S30" s="481">
        <v>16</v>
      </c>
      <c r="T30" s="340"/>
      <c r="U30" s="158"/>
      <c r="V30" s="158"/>
      <c r="W30" s="366">
        <v>55</v>
      </c>
      <c r="X30" s="280">
        <f t="shared" si="2"/>
        <v>1.4250000000000005</v>
      </c>
      <c r="Y30" s="414">
        <v>0.15</v>
      </c>
      <c r="Z30" s="415">
        <f t="shared" si="3"/>
        <v>4.900000000000002</v>
      </c>
      <c r="AA30" s="228"/>
    </row>
    <row r="31" spans="1:27" ht="17.25" customHeight="1" thickBot="1">
      <c r="A31" s="395">
        <v>11</v>
      </c>
      <c r="B31" s="397" t="s">
        <v>197</v>
      </c>
      <c r="C31" s="307" t="s">
        <v>190</v>
      </c>
      <c r="D31" s="308">
        <f>IF(((10000000/D30)^(1/8))&gt;=1.15,1.15,IF(((10000000/D30)^(1/8))&lt;=0.67,0.67,(10000000/D30)^(1/8)))</f>
        <v>0.7726248631787386</v>
      </c>
      <c r="E31" s="264"/>
      <c r="F31" s="160"/>
      <c r="G31" s="316">
        <v>43</v>
      </c>
      <c r="H31" s="317" t="s">
        <v>156</v>
      </c>
      <c r="I31" s="434" t="s">
        <v>157</v>
      </c>
      <c r="J31" s="443">
        <f>D14*(D13-2.4+2*J3)</f>
        <v>74</v>
      </c>
      <c r="K31" s="320" t="s">
        <v>36</v>
      </c>
      <c r="L31" s="340"/>
      <c r="M31" s="436"/>
      <c r="N31" s="228"/>
      <c r="O31" s="158"/>
      <c r="P31" s="158"/>
      <c r="Q31" s="196"/>
      <c r="R31" s="196"/>
      <c r="S31" s="516">
        <v>20</v>
      </c>
      <c r="T31" s="340"/>
      <c r="U31" s="158"/>
      <c r="V31" s="158"/>
      <c r="W31" s="366">
        <v>56</v>
      </c>
      <c r="X31" s="280">
        <f t="shared" si="2"/>
        <v>1.4200000000000006</v>
      </c>
      <c r="Y31" s="414">
        <v>0.16</v>
      </c>
      <c r="Z31" s="415">
        <f t="shared" si="3"/>
        <v>4.8400000000000025</v>
      </c>
      <c r="AA31" s="228"/>
    </row>
    <row r="32" spans="1:27" ht="17.25" customHeight="1">
      <c r="A32" s="395">
        <v>12</v>
      </c>
      <c r="B32" s="397" t="s">
        <v>198</v>
      </c>
      <c r="C32" s="307" t="s">
        <v>191</v>
      </c>
      <c r="D32" s="308">
        <f>IF(((1000000/D30)^(1/9))&gt;=1,1,IF(((1000000/D30)^(1/9))&lt;=0.54,0.54,(1000000/D30)^(1/9)))</f>
        <v>0.6156097549741358</v>
      </c>
      <c r="E32" s="264"/>
      <c r="F32" s="160"/>
      <c r="G32" s="316">
        <v>44</v>
      </c>
      <c r="H32" s="317" t="s">
        <v>82</v>
      </c>
      <c r="I32" s="434" t="s">
        <v>158</v>
      </c>
      <c r="J32" s="443">
        <f>J30+6*D14/(D12+2)</f>
        <v>88.75</v>
      </c>
      <c r="K32" s="320" t="s">
        <v>36</v>
      </c>
      <c r="L32" s="340"/>
      <c r="M32" s="340"/>
      <c r="N32" s="340"/>
      <c r="O32" s="158"/>
      <c r="P32" s="158"/>
      <c r="Q32" s="196"/>
      <c r="R32" s="196"/>
      <c r="S32" s="158"/>
      <c r="T32" s="340"/>
      <c r="U32" s="158"/>
      <c r="V32" s="158"/>
      <c r="W32" s="366">
        <v>57</v>
      </c>
      <c r="X32" s="280">
        <f t="shared" si="2"/>
        <v>1.4150000000000007</v>
      </c>
      <c r="Y32" s="414">
        <v>0.17</v>
      </c>
      <c r="Z32" s="415">
        <f t="shared" si="3"/>
        <v>4.780000000000003</v>
      </c>
      <c r="AA32" s="228"/>
    </row>
    <row r="33" spans="1:27" ht="17.25" customHeight="1">
      <c r="A33" s="419">
        <v>13</v>
      </c>
      <c r="B33" s="348" t="s">
        <v>20</v>
      </c>
      <c r="C33" s="318" t="s">
        <v>192</v>
      </c>
      <c r="D33" s="420">
        <f>INDEX(P7:P18,O5)</f>
        <v>390</v>
      </c>
      <c r="E33" s="320" t="s">
        <v>22</v>
      </c>
      <c r="F33" s="160"/>
      <c r="G33" s="316">
        <v>45</v>
      </c>
      <c r="H33" s="317" t="s">
        <v>223</v>
      </c>
      <c r="I33" s="434" t="s">
        <v>159</v>
      </c>
      <c r="J33" s="443">
        <f>IF(OR(D12=1,D12=2),0.75*J27,0.67*J27)</f>
        <v>18.75</v>
      </c>
      <c r="K33" s="320" t="s">
        <v>36</v>
      </c>
      <c r="L33" s="340"/>
      <c r="M33" s="340"/>
      <c r="N33" s="340"/>
      <c r="O33" s="158"/>
      <c r="P33" s="158"/>
      <c r="Q33" s="196"/>
      <c r="R33" s="196"/>
      <c r="S33" s="158"/>
      <c r="T33" s="340"/>
      <c r="U33" s="158"/>
      <c r="V33" s="158"/>
      <c r="W33" s="366">
        <v>58</v>
      </c>
      <c r="X33" s="280">
        <f t="shared" si="2"/>
        <v>1.4100000000000008</v>
      </c>
      <c r="Y33" s="414">
        <v>0.18</v>
      </c>
      <c r="Z33" s="415">
        <f t="shared" si="3"/>
        <v>4.720000000000003</v>
      </c>
      <c r="AA33" s="228"/>
    </row>
    <row r="34" spans="1:27" ht="17.25" customHeight="1" thickBot="1">
      <c r="A34" s="438">
        <v>14</v>
      </c>
      <c r="B34" s="447" t="s">
        <v>21</v>
      </c>
      <c r="C34" s="517" t="s">
        <v>193</v>
      </c>
      <c r="D34" s="441">
        <f>INDEX(Q7:Q18,O5)</f>
        <v>195</v>
      </c>
      <c r="E34" s="364" t="s">
        <v>22</v>
      </c>
      <c r="F34" s="160"/>
      <c r="G34" s="177">
        <v>46</v>
      </c>
      <c r="H34" s="361" t="s">
        <v>227</v>
      </c>
      <c r="I34" s="179" t="s">
        <v>226</v>
      </c>
      <c r="J34" s="363">
        <f>2*ASIN(J33/(J27-D14/2))/PI()*180</f>
        <v>104.2727072765393</v>
      </c>
      <c r="K34" s="181" t="s">
        <v>122</v>
      </c>
      <c r="L34" s="340"/>
      <c r="M34" s="436"/>
      <c r="N34" s="436"/>
      <c r="O34" s="158"/>
      <c r="P34" s="158"/>
      <c r="Q34" s="196"/>
      <c r="R34" s="196"/>
      <c r="S34" s="158"/>
      <c r="T34" s="158"/>
      <c r="U34" s="158"/>
      <c r="V34" s="158"/>
      <c r="W34" s="366">
        <v>59</v>
      </c>
      <c r="X34" s="280">
        <f t="shared" si="2"/>
        <v>1.405000000000001</v>
      </c>
      <c r="Y34" s="414">
        <v>0.19</v>
      </c>
      <c r="Z34" s="415">
        <f t="shared" si="3"/>
        <v>4.660000000000004</v>
      </c>
      <c r="AA34" s="228"/>
    </row>
    <row r="35" spans="1:27" ht="17.25" customHeight="1">
      <c r="A35" s="158"/>
      <c r="B35" s="158"/>
      <c r="C35" s="158"/>
      <c r="D35" s="158"/>
      <c r="E35" s="158"/>
      <c r="F35" s="160"/>
      <c r="G35" s="158"/>
      <c r="H35" s="158"/>
      <c r="I35" s="158"/>
      <c r="J35" s="158"/>
      <c r="K35" s="158"/>
      <c r="L35" s="340"/>
      <c r="M35" s="340"/>
      <c r="N35" s="340"/>
      <c r="O35" s="158"/>
      <c r="P35" s="158"/>
      <c r="Q35" s="196"/>
      <c r="R35" s="196"/>
      <c r="S35" s="158"/>
      <c r="T35" s="158"/>
      <c r="U35" s="158"/>
      <c r="V35" s="158"/>
      <c r="W35" s="378">
        <v>60</v>
      </c>
      <c r="X35" s="305">
        <v>1.4</v>
      </c>
      <c r="Y35" s="414">
        <v>0.2</v>
      </c>
      <c r="Z35" s="415">
        <f t="shared" si="3"/>
        <v>4.600000000000004</v>
      </c>
      <c r="AA35" s="228"/>
    </row>
    <row r="36" spans="1:27" ht="17.25" customHeight="1">
      <c r="A36" s="158"/>
      <c r="B36" s="158"/>
      <c r="C36" s="158"/>
      <c r="D36" s="158"/>
      <c r="E36" s="158"/>
      <c r="F36" s="158"/>
      <c r="G36" s="158"/>
      <c r="H36" s="456"/>
      <c r="I36" s="456"/>
      <c r="J36" s="456"/>
      <c r="K36" s="456"/>
      <c r="L36" s="182"/>
      <c r="M36" s="158"/>
      <c r="N36" s="436"/>
      <c r="O36" s="158"/>
      <c r="P36" s="158"/>
      <c r="Q36" s="196"/>
      <c r="R36" s="196"/>
      <c r="S36" s="158"/>
      <c r="T36" s="158"/>
      <c r="U36" s="158"/>
      <c r="V36" s="158"/>
      <c r="W36" s="366">
        <v>61</v>
      </c>
      <c r="X36" s="280">
        <f>X35-0.06/20</f>
        <v>1.397</v>
      </c>
      <c r="Y36" s="414">
        <v>0.21</v>
      </c>
      <c r="Z36" s="415">
        <f t="shared" si="3"/>
        <v>4.5400000000000045</v>
      </c>
      <c r="AA36" s="228"/>
    </row>
    <row r="37" spans="1:27" ht="17.25" customHeight="1">
      <c r="A37" s="158"/>
      <c r="B37" s="158"/>
      <c r="C37" s="158"/>
      <c r="D37" s="158"/>
      <c r="E37" s="158"/>
      <c r="F37" s="158"/>
      <c r="G37" s="158"/>
      <c r="H37" s="457"/>
      <c r="I37" s="458"/>
      <c r="J37" s="458"/>
      <c r="K37" s="458"/>
      <c r="L37" s="182"/>
      <c r="M37" s="158"/>
      <c r="N37" s="436"/>
      <c r="O37" s="158"/>
      <c r="P37" s="158"/>
      <c r="Q37" s="196"/>
      <c r="R37" s="196"/>
      <c r="S37" s="158"/>
      <c r="T37" s="158"/>
      <c r="U37" s="158"/>
      <c r="V37" s="158"/>
      <c r="W37" s="366">
        <v>62</v>
      </c>
      <c r="X37" s="280">
        <f aca="true" t="shared" si="4" ref="X37:X54">X36-0.06/20</f>
        <v>1.3940000000000001</v>
      </c>
      <c r="Y37" s="414">
        <v>0.22</v>
      </c>
      <c r="Z37" s="415">
        <f t="shared" si="3"/>
        <v>4.480000000000005</v>
      </c>
      <c r="AA37" s="228"/>
    </row>
    <row r="38" spans="1:27" ht="17.25" customHeight="1">
      <c r="A38" s="158"/>
      <c r="B38" s="158"/>
      <c r="C38" s="158"/>
      <c r="D38" s="158"/>
      <c r="E38" s="158"/>
      <c r="F38" s="158"/>
      <c r="G38" s="158"/>
      <c r="H38" s="457"/>
      <c r="I38" s="458"/>
      <c r="J38" s="458"/>
      <c r="K38" s="458"/>
      <c r="L38" s="182"/>
      <c r="M38" s="158"/>
      <c r="N38" s="436"/>
      <c r="O38" s="158"/>
      <c r="P38" s="158"/>
      <c r="Q38" s="196"/>
      <c r="R38" s="196"/>
      <c r="S38" s="158"/>
      <c r="T38" s="158"/>
      <c r="U38" s="158"/>
      <c r="V38" s="158"/>
      <c r="W38" s="366">
        <v>63</v>
      </c>
      <c r="X38" s="280">
        <f t="shared" si="4"/>
        <v>1.3910000000000002</v>
      </c>
      <c r="Y38" s="414">
        <v>0.23</v>
      </c>
      <c r="Z38" s="415">
        <f t="shared" si="3"/>
        <v>4.420000000000005</v>
      </c>
      <c r="AA38" s="228"/>
    </row>
    <row r="39" spans="1:27" ht="17.25" customHeight="1">
      <c r="A39" s="158"/>
      <c r="B39" s="158"/>
      <c r="C39" s="158"/>
      <c r="D39" s="158"/>
      <c r="E39" s="158"/>
      <c r="F39" s="158"/>
      <c r="G39" s="158"/>
      <c r="H39" s="457"/>
      <c r="I39" s="458"/>
      <c r="J39" s="458"/>
      <c r="K39" s="458"/>
      <c r="L39" s="182"/>
      <c r="M39" s="158"/>
      <c r="N39" s="436"/>
      <c r="O39" s="158"/>
      <c r="P39" s="158"/>
      <c r="Q39" s="196"/>
      <c r="R39" s="196"/>
      <c r="S39" s="158"/>
      <c r="T39" s="455"/>
      <c r="U39" s="455"/>
      <c r="V39" s="455"/>
      <c r="W39" s="366">
        <v>64</v>
      </c>
      <c r="X39" s="280">
        <f t="shared" si="4"/>
        <v>1.3880000000000003</v>
      </c>
      <c r="Y39" s="414">
        <v>0.24</v>
      </c>
      <c r="Z39" s="415">
        <f t="shared" si="3"/>
        <v>4.360000000000006</v>
      </c>
      <c r="AA39" s="228"/>
    </row>
    <row r="40" spans="1:27" ht="17.25" customHeight="1">
      <c r="A40" s="158"/>
      <c r="B40" s="159"/>
      <c r="C40" s="159"/>
      <c r="D40" s="159"/>
      <c r="E40" s="158"/>
      <c r="F40" s="158"/>
      <c r="G40" s="158"/>
      <c r="H40" s="457"/>
      <c r="I40" s="458"/>
      <c r="J40" s="458"/>
      <c r="K40" s="458"/>
      <c r="L40" s="182"/>
      <c r="M40" s="158"/>
      <c r="N40" s="436"/>
      <c r="O40" s="158"/>
      <c r="P40" s="158"/>
      <c r="Q40" s="158"/>
      <c r="R40" s="158"/>
      <c r="S40" s="158"/>
      <c r="T40" s="455"/>
      <c r="U40" s="455"/>
      <c r="V40" s="454"/>
      <c r="W40" s="366">
        <v>65</v>
      </c>
      <c r="X40" s="280">
        <f t="shared" si="4"/>
        <v>1.3850000000000005</v>
      </c>
      <c r="Y40" s="412">
        <v>0.25</v>
      </c>
      <c r="Z40" s="413">
        <v>4.3</v>
      </c>
      <c r="AA40" s="228"/>
    </row>
    <row r="41" spans="1:27" ht="17.25" customHeight="1">
      <c r="A41" s="158"/>
      <c r="B41" s="158"/>
      <c r="C41" s="158"/>
      <c r="D41" s="158"/>
      <c r="E41" s="158"/>
      <c r="F41" s="158"/>
      <c r="G41" s="158"/>
      <c r="H41" s="457"/>
      <c r="I41" s="458"/>
      <c r="J41" s="458"/>
      <c r="K41" s="458"/>
      <c r="L41" s="182"/>
      <c r="M41" s="158"/>
      <c r="N41" s="436"/>
      <c r="O41" s="158"/>
      <c r="P41" s="158"/>
      <c r="Q41" s="158"/>
      <c r="R41" s="158"/>
      <c r="S41" s="196"/>
      <c r="T41" s="158"/>
      <c r="U41" s="158"/>
      <c r="V41" s="159"/>
      <c r="W41" s="366">
        <v>66</v>
      </c>
      <c r="X41" s="280">
        <f t="shared" si="4"/>
        <v>1.3820000000000006</v>
      </c>
      <c r="Y41" s="414">
        <v>0.3</v>
      </c>
      <c r="Z41" s="415">
        <f>Z40-0.6/5</f>
        <v>4.18</v>
      </c>
      <c r="AA41" s="228"/>
    </row>
    <row r="42" spans="1:27" ht="17.25" customHeight="1">
      <c r="A42" s="158"/>
      <c r="B42" s="158"/>
      <c r="C42" s="158"/>
      <c r="D42" s="158"/>
      <c r="E42" s="158"/>
      <c r="F42" s="158"/>
      <c r="G42" s="158"/>
      <c r="H42" s="457"/>
      <c r="I42" s="458"/>
      <c r="J42" s="458"/>
      <c r="K42" s="458"/>
      <c r="L42" s="182"/>
      <c r="M42" s="158"/>
      <c r="N42" s="436"/>
      <c r="O42" s="158"/>
      <c r="P42" s="158"/>
      <c r="Q42" s="158"/>
      <c r="R42" s="158"/>
      <c r="S42" s="196"/>
      <c r="T42" s="158"/>
      <c r="U42" s="158"/>
      <c r="V42" s="159"/>
      <c r="W42" s="366">
        <v>67</v>
      </c>
      <c r="X42" s="280">
        <f t="shared" si="4"/>
        <v>1.3790000000000007</v>
      </c>
      <c r="Y42" s="414">
        <v>0.35</v>
      </c>
      <c r="Z42" s="415">
        <f>Z41-0.6/5</f>
        <v>4.06</v>
      </c>
      <c r="AA42" s="228"/>
    </row>
    <row r="43" spans="1:27" ht="17.25" customHeight="1">
      <c r="A43" s="158"/>
      <c r="B43" s="158"/>
      <c r="C43" s="158"/>
      <c r="D43" s="158"/>
      <c r="E43" s="158"/>
      <c r="F43" s="158"/>
      <c r="G43" s="158"/>
      <c r="H43" s="461"/>
      <c r="I43" s="462"/>
      <c r="J43" s="462"/>
      <c r="K43" s="462"/>
      <c r="L43" s="182"/>
      <c r="M43" s="158"/>
      <c r="N43" s="436"/>
      <c r="O43" s="158"/>
      <c r="P43" s="158"/>
      <c r="Q43" s="158"/>
      <c r="R43" s="158"/>
      <c r="S43" s="196"/>
      <c r="T43" s="158"/>
      <c r="U43" s="158"/>
      <c r="V43" s="159"/>
      <c r="W43" s="366">
        <v>68</v>
      </c>
      <c r="X43" s="280">
        <f t="shared" si="4"/>
        <v>1.3760000000000008</v>
      </c>
      <c r="Y43" s="414">
        <v>0.4</v>
      </c>
      <c r="Z43" s="415">
        <f>Z42-0.6/5</f>
        <v>3.9399999999999995</v>
      </c>
      <c r="AA43" s="454"/>
    </row>
    <row r="44" spans="1:27" ht="17.25" customHeight="1">
      <c r="A44" s="158"/>
      <c r="B44" s="158"/>
      <c r="C44" s="158"/>
      <c r="D44" s="158"/>
      <c r="E44" s="158"/>
      <c r="F44" s="158"/>
      <c r="G44" s="158"/>
      <c r="H44" s="457"/>
      <c r="I44" s="458"/>
      <c r="J44" s="458"/>
      <c r="K44" s="458"/>
      <c r="L44" s="158"/>
      <c r="M44" s="158"/>
      <c r="N44" s="436"/>
      <c r="O44" s="158"/>
      <c r="P44" s="158"/>
      <c r="Q44" s="459"/>
      <c r="R44" s="459"/>
      <c r="S44" s="196"/>
      <c r="T44" s="158"/>
      <c r="U44" s="158"/>
      <c r="V44" s="159"/>
      <c r="W44" s="366">
        <v>69</v>
      </c>
      <c r="X44" s="280">
        <f t="shared" si="4"/>
        <v>1.3730000000000009</v>
      </c>
      <c r="Y44" s="414">
        <v>0.45</v>
      </c>
      <c r="Z44" s="415">
        <f>Z43-0.6/5</f>
        <v>3.8199999999999994</v>
      </c>
      <c r="AA44" s="159"/>
    </row>
    <row r="45" spans="1:27" ht="17.25" customHeight="1">
      <c r="A45" s="158"/>
      <c r="B45" s="158"/>
      <c r="C45" s="158"/>
      <c r="D45" s="158"/>
      <c r="E45" s="158"/>
      <c r="F45" s="158"/>
      <c r="G45" s="158"/>
      <c r="H45" s="461"/>
      <c r="I45" s="462"/>
      <c r="J45" s="462"/>
      <c r="K45" s="462"/>
      <c r="L45" s="158"/>
      <c r="M45" s="158"/>
      <c r="N45" s="436"/>
      <c r="O45" s="158"/>
      <c r="P45" s="158"/>
      <c r="Q45" s="460"/>
      <c r="R45" s="460"/>
      <c r="S45" s="196"/>
      <c r="T45" s="158"/>
      <c r="U45" s="158"/>
      <c r="V45" s="159"/>
      <c r="W45" s="366">
        <v>70</v>
      </c>
      <c r="X45" s="280">
        <f t="shared" si="4"/>
        <v>1.370000000000001</v>
      </c>
      <c r="Y45" s="412">
        <v>0.5</v>
      </c>
      <c r="Z45" s="413">
        <v>3.7</v>
      </c>
      <c r="AA45" s="159"/>
    </row>
    <row r="46" spans="1:27" ht="17.25" customHeight="1">
      <c r="A46" s="158"/>
      <c r="B46" s="158"/>
      <c r="C46" s="158"/>
      <c r="D46" s="158"/>
      <c r="E46" s="158"/>
      <c r="F46" s="158"/>
      <c r="G46" s="158"/>
      <c r="H46" s="457"/>
      <c r="I46" s="458"/>
      <c r="J46" s="458"/>
      <c r="K46" s="458"/>
      <c r="L46" s="158"/>
      <c r="M46" s="158"/>
      <c r="N46" s="158"/>
      <c r="O46" s="158"/>
      <c r="P46" s="158"/>
      <c r="Q46" s="460"/>
      <c r="R46" s="460"/>
      <c r="S46" s="196"/>
      <c r="T46" s="158"/>
      <c r="U46" s="158"/>
      <c r="V46" s="159"/>
      <c r="W46" s="366">
        <v>71</v>
      </c>
      <c r="X46" s="280">
        <f t="shared" si="4"/>
        <v>1.367000000000001</v>
      </c>
      <c r="Y46" s="414">
        <v>0.6</v>
      </c>
      <c r="Z46" s="415">
        <f>Z45-0.5/5</f>
        <v>3.6</v>
      </c>
      <c r="AA46" s="159"/>
    </row>
    <row r="47" spans="1:27" ht="17.25" customHeight="1">
      <c r="A47" s="158"/>
      <c r="B47" s="158"/>
      <c r="C47" s="158"/>
      <c r="D47" s="158"/>
      <c r="E47" s="158"/>
      <c r="F47" s="158"/>
      <c r="G47" s="158"/>
      <c r="H47" s="461"/>
      <c r="I47" s="462"/>
      <c r="J47" s="462"/>
      <c r="K47" s="462"/>
      <c r="L47" s="158"/>
      <c r="M47" s="158"/>
      <c r="N47" s="158"/>
      <c r="O47" s="158"/>
      <c r="P47" s="158"/>
      <c r="Q47" s="182"/>
      <c r="R47" s="182"/>
      <c r="S47" s="196"/>
      <c r="T47" s="158"/>
      <c r="U47" s="158"/>
      <c r="V47" s="159"/>
      <c r="W47" s="366">
        <v>72</v>
      </c>
      <c r="X47" s="280">
        <f t="shared" si="4"/>
        <v>1.3640000000000012</v>
      </c>
      <c r="Y47" s="414">
        <v>0.7</v>
      </c>
      <c r="Z47" s="415">
        <f>Z46-0.5/5</f>
        <v>3.5</v>
      </c>
      <c r="AA47" s="159"/>
    </row>
    <row r="48" spans="1:27" ht="17.25" customHeight="1">
      <c r="A48" s="158"/>
      <c r="B48" s="158"/>
      <c r="C48" s="158"/>
      <c r="D48" s="158"/>
      <c r="E48" s="158"/>
      <c r="F48" s="158"/>
      <c r="G48" s="158"/>
      <c r="H48" s="457"/>
      <c r="I48" s="458"/>
      <c r="J48" s="458"/>
      <c r="K48" s="458"/>
      <c r="L48" s="158"/>
      <c r="M48" s="158"/>
      <c r="N48" s="158"/>
      <c r="O48" s="158"/>
      <c r="P48" s="158"/>
      <c r="Q48" s="158"/>
      <c r="R48" s="158"/>
      <c r="S48" s="196"/>
      <c r="T48" s="158"/>
      <c r="U48" s="158"/>
      <c r="V48" s="159"/>
      <c r="W48" s="366">
        <v>73</v>
      </c>
      <c r="X48" s="280">
        <f t="shared" si="4"/>
        <v>1.3610000000000013</v>
      </c>
      <c r="Y48" s="414">
        <v>0.8</v>
      </c>
      <c r="Z48" s="415">
        <f>Z47-0.5/5</f>
        <v>3.4</v>
      </c>
      <c r="AA48" s="159"/>
    </row>
    <row r="49" spans="1:27" ht="17.25" customHeight="1">
      <c r="A49" s="158"/>
      <c r="B49" s="158"/>
      <c r="C49" s="158"/>
      <c r="D49" s="158"/>
      <c r="E49" s="158"/>
      <c r="F49" s="158"/>
      <c r="G49" s="158"/>
      <c r="H49" s="461"/>
      <c r="I49" s="462"/>
      <c r="J49" s="462"/>
      <c r="K49" s="462"/>
      <c r="L49" s="158"/>
      <c r="M49" s="158"/>
      <c r="N49" s="158"/>
      <c r="O49" s="158"/>
      <c r="P49" s="158"/>
      <c r="Q49" s="158"/>
      <c r="R49" s="158"/>
      <c r="S49" s="196"/>
      <c r="T49" s="158"/>
      <c r="U49" s="158"/>
      <c r="V49" s="159"/>
      <c r="W49" s="366">
        <v>74</v>
      </c>
      <c r="X49" s="280">
        <f t="shared" si="4"/>
        <v>1.3580000000000014</v>
      </c>
      <c r="Y49" s="414">
        <v>0.9</v>
      </c>
      <c r="Z49" s="415">
        <f>Z48-0.5/5</f>
        <v>3.3</v>
      </c>
      <c r="AA49" s="159"/>
    </row>
    <row r="50" spans="1:27" ht="17.25" customHeight="1">
      <c r="A50" s="158"/>
      <c r="B50" s="158"/>
      <c r="C50" s="158"/>
      <c r="D50" s="158"/>
      <c r="E50" s="158"/>
      <c r="F50" s="158"/>
      <c r="G50" s="158"/>
      <c r="H50" s="457"/>
      <c r="I50" s="458"/>
      <c r="J50" s="458"/>
      <c r="K50" s="4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9"/>
      <c r="W50" s="366">
        <v>75</v>
      </c>
      <c r="X50" s="280">
        <f t="shared" si="4"/>
        <v>1.3550000000000015</v>
      </c>
      <c r="Y50" s="412">
        <v>1</v>
      </c>
      <c r="Z50" s="413">
        <v>3.2</v>
      </c>
      <c r="AA50" s="159"/>
    </row>
    <row r="51" spans="1:27" ht="17.25" customHeight="1">
      <c r="A51" s="158"/>
      <c r="B51" s="158"/>
      <c r="C51" s="158"/>
      <c r="D51" s="158"/>
      <c r="E51" s="158"/>
      <c r="F51" s="158"/>
      <c r="G51" s="158"/>
      <c r="H51" s="461"/>
      <c r="I51" s="462"/>
      <c r="J51" s="462"/>
      <c r="K51" s="462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9"/>
      <c r="W51" s="366">
        <v>76</v>
      </c>
      <c r="X51" s="280">
        <f t="shared" si="4"/>
        <v>1.3520000000000016</v>
      </c>
      <c r="Y51" s="414">
        <v>1.1</v>
      </c>
      <c r="Z51" s="415">
        <f>Z50-0.4/5</f>
        <v>3.12</v>
      </c>
      <c r="AA51" s="159"/>
    </row>
    <row r="52" spans="1:27" ht="17.25" customHeight="1">
      <c r="A52" s="158"/>
      <c r="B52" s="158"/>
      <c r="C52" s="158"/>
      <c r="D52" s="158"/>
      <c r="E52" s="158"/>
      <c r="F52" s="158"/>
      <c r="G52" s="158"/>
      <c r="H52" s="457"/>
      <c r="I52" s="458"/>
      <c r="J52" s="458"/>
      <c r="K52" s="4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9"/>
      <c r="W52" s="366">
        <v>77</v>
      </c>
      <c r="X52" s="280">
        <f t="shared" si="4"/>
        <v>1.3490000000000018</v>
      </c>
      <c r="Y52" s="414">
        <v>1.2</v>
      </c>
      <c r="Z52" s="415">
        <f>Z51-0.4/5</f>
        <v>3.04</v>
      </c>
      <c r="AA52" s="159"/>
    </row>
    <row r="53" spans="1:27" ht="17.25" customHeight="1">
      <c r="A53" s="158"/>
      <c r="B53" s="158"/>
      <c r="C53" s="158"/>
      <c r="D53" s="158"/>
      <c r="E53" s="158"/>
      <c r="F53" s="158"/>
      <c r="G53" s="158"/>
      <c r="H53" s="461"/>
      <c r="I53" s="462"/>
      <c r="J53" s="462"/>
      <c r="K53" s="462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9"/>
      <c r="W53" s="366">
        <v>78</v>
      </c>
      <c r="X53" s="280">
        <f t="shared" si="4"/>
        <v>1.3460000000000019</v>
      </c>
      <c r="Y53" s="414">
        <v>1.3</v>
      </c>
      <c r="Z53" s="415">
        <f>Z52-0.4/5</f>
        <v>2.96</v>
      </c>
      <c r="AA53" s="159"/>
    </row>
    <row r="54" spans="1:27" ht="17.25" customHeight="1">
      <c r="A54" s="158"/>
      <c r="B54" s="158"/>
      <c r="C54" s="158"/>
      <c r="D54" s="158"/>
      <c r="E54" s="158"/>
      <c r="F54" s="158"/>
      <c r="G54" s="158"/>
      <c r="H54" s="457"/>
      <c r="I54" s="458"/>
      <c r="J54" s="458"/>
      <c r="K54" s="458"/>
      <c r="L54" s="158"/>
      <c r="M54" s="158"/>
      <c r="N54" s="158"/>
      <c r="O54" s="158"/>
      <c r="P54" s="158"/>
      <c r="Q54" s="158"/>
      <c r="R54" s="158"/>
      <c r="S54" s="459"/>
      <c r="T54" s="158"/>
      <c r="U54" s="158"/>
      <c r="V54" s="159"/>
      <c r="W54" s="366">
        <v>79</v>
      </c>
      <c r="X54" s="280">
        <f t="shared" si="4"/>
        <v>1.343000000000002</v>
      </c>
      <c r="Y54" s="414">
        <v>1.4</v>
      </c>
      <c r="Z54" s="415">
        <f>Z53-0.4/5</f>
        <v>2.88</v>
      </c>
      <c r="AA54" s="159"/>
    </row>
    <row r="55" spans="1:27" ht="17.25" customHeight="1" thickBot="1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460"/>
      <c r="T55" s="158"/>
      <c r="U55" s="158"/>
      <c r="V55" s="159"/>
      <c r="W55" s="463">
        <v>80</v>
      </c>
      <c r="X55" s="464">
        <v>1.34</v>
      </c>
      <c r="Y55" s="412">
        <v>1.5</v>
      </c>
      <c r="Z55" s="413">
        <v>2.8</v>
      </c>
      <c r="AA55" s="159"/>
    </row>
    <row r="56" spans="1:27" ht="17.2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460"/>
      <c r="T56" s="158"/>
      <c r="U56" s="158"/>
      <c r="V56" s="159"/>
      <c r="W56" s="159"/>
      <c r="X56" s="159"/>
      <c r="Y56" s="414">
        <v>1.6</v>
      </c>
      <c r="Z56" s="415">
        <f>Z55-0.3/5</f>
        <v>2.7399999999999998</v>
      </c>
      <c r="AA56" s="159"/>
    </row>
    <row r="57" spans="1:27" ht="17.25" customHeight="1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82"/>
      <c r="T57" s="158"/>
      <c r="U57" s="158"/>
      <c r="V57" s="159"/>
      <c r="W57" s="159"/>
      <c r="X57" s="159"/>
      <c r="Y57" s="414">
        <v>1.7</v>
      </c>
      <c r="Z57" s="415">
        <f>Z56-0.3/5</f>
        <v>2.6799999999999997</v>
      </c>
      <c r="AA57" s="159"/>
    </row>
    <row r="58" spans="1:27" ht="17.25" customHeight="1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9"/>
      <c r="W58" s="159"/>
      <c r="X58" s="159"/>
      <c r="Y58" s="414">
        <v>1.8</v>
      </c>
      <c r="Z58" s="415">
        <f>Z57-0.3/5</f>
        <v>2.6199999999999997</v>
      </c>
      <c r="AA58" s="159"/>
    </row>
    <row r="59" spans="1:27" ht="17.25" customHeight="1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9"/>
      <c r="W59" s="159"/>
      <c r="X59" s="159"/>
      <c r="Y59" s="414">
        <v>1.9</v>
      </c>
      <c r="Z59" s="415">
        <f>Z58-0.3/5</f>
        <v>2.5599999999999996</v>
      </c>
      <c r="AA59" s="159"/>
    </row>
    <row r="60" spans="1:27" ht="17.25" customHeight="1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9"/>
      <c r="W60" s="159"/>
      <c r="X60" s="159"/>
      <c r="Y60" s="412">
        <v>2</v>
      </c>
      <c r="Z60" s="413">
        <v>2.5</v>
      </c>
      <c r="AA60" s="159"/>
    </row>
    <row r="61" spans="1:27" ht="17.25" customHeight="1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9"/>
      <c r="W61" s="159"/>
      <c r="X61" s="159"/>
      <c r="Y61" s="414">
        <v>2.1</v>
      </c>
      <c r="Z61" s="415">
        <f>Z60-0.2/5</f>
        <v>2.46</v>
      </c>
      <c r="AA61" s="159"/>
    </row>
    <row r="62" spans="1:27" ht="17.25" customHeight="1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9"/>
      <c r="W62" s="159"/>
      <c r="X62" s="159"/>
      <c r="Y62" s="414">
        <v>2.2</v>
      </c>
      <c r="Z62" s="415">
        <f>Z61-0.2/5</f>
        <v>2.42</v>
      </c>
      <c r="AA62" s="159"/>
    </row>
    <row r="63" spans="1:27" ht="17.25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9"/>
      <c r="W63" s="159"/>
      <c r="X63" s="159"/>
      <c r="Y63" s="414">
        <v>2.3</v>
      </c>
      <c r="Z63" s="415">
        <f>Z62-0.2/5</f>
        <v>2.38</v>
      </c>
      <c r="AA63" s="159"/>
    </row>
    <row r="64" spans="1:27" ht="17.25" customHeight="1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9"/>
      <c r="W64" s="159"/>
      <c r="X64" s="159"/>
      <c r="Y64" s="414">
        <v>2.4</v>
      </c>
      <c r="Z64" s="415">
        <f>Z63-0.2/5</f>
        <v>2.34</v>
      </c>
      <c r="AA64" s="159"/>
    </row>
    <row r="65" spans="1:27" ht="17.25" customHeight="1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9"/>
      <c r="W65" s="159"/>
      <c r="X65" s="159"/>
      <c r="Y65" s="412">
        <v>2.5</v>
      </c>
      <c r="Z65" s="413">
        <v>2.3</v>
      </c>
      <c r="AA65" s="159"/>
    </row>
    <row r="66" spans="1:27" ht="17.25" customHeight="1">
      <c r="A66" s="158"/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9"/>
      <c r="W66" s="159"/>
      <c r="X66" s="159"/>
      <c r="Y66" s="414">
        <v>2.6</v>
      </c>
      <c r="Z66" s="415">
        <f>Z65-0.3/5</f>
        <v>2.2399999999999998</v>
      </c>
      <c r="AA66" s="159"/>
    </row>
    <row r="67" spans="1:27" ht="17.25" customHeight="1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9"/>
      <c r="W67" s="159"/>
      <c r="X67" s="159"/>
      <c r="Y67" s="414">
        <v>2.7</v>
      </c>
      <c r="Z67" s="415">
        <f>Z66-0.3/5</f>
        <v>2.1799999999999997</v>
      </c>
      <c r="AA67" s="159"/>
    </row>
    <row r="68" spans="1:27" ht="17.25" customHeight="1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9"/>
      <c r="W68" s="159"/>
      <c r="X68" s="159"/>
      <c r="Y68" s="414">
        <v>2.8</v>
      </c>
      <c r="Z68" s="415">
        <f>Z67-0.3/5</f>
        <v>2.1199999999999997</v>
      </c>
      <c r="AA68" s="159"/>
    </row>
    <row r="69" spans="1:27" ht="17.25" customHeight="1">
      <c r="A69" s="158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9"/>
      <c r="W69" s="159"/>
      <c r="X69" s="159"/>
      <c r="Y69" s="414">
        <v>2.9</v>
      </c>
      <c r="Z69" s="415">
        <f>Z68-0.3/5</f>
        <v>2.0599999999999996</v>
      </c>
      <c r="AA69" s="159"/>
    </row>
    <row r="70" spans="1:27" ht="17.25" customHeight="1">
      <c r="A70" s="158"/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9"/>
      <c r="W70" s="159"/>
      <c r="X70" s="159"/>
      <c r="Y70" s="412">
        <v>3</v>
      </c>
      <c r="Z70" s="413">
        <v>2</v>
      </c>
      <c r="AA70" s="159"/>
    </row>
    <row r="71" spans="1:27" ht="17.25" customHeight="1">
      <c r="A71" s="158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9"/>
      <c r="W71" s="159"/>
      <c r="X71" s="159"/>
      <c r="Y71" s="414">
        <v>3.25</v>
      </c>
      <c r="Z71" s="415">
        <f>Z70-0.3/4</f>
        <v>1.925</v>
      </c>
      <c r="AA71" s="159"/>
    </row>
    <row r="72" spans="1:27" ht="17.25" customHeight="1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9"/>
      <c r="W72" s="159"/>
      <c r="X72" s="159"/>
      <c r="Y72" s="414">
        <v>3.5</v>
      </c>
      <c r="Z72" s="415">
        <f>Z71-0.3/4</f>
        <v>1.85</v>
      </c>
      <c r="AA72" s="159"/>
    </row>
    <row r="73" spans="1:27" ht="17.25" customHeight="1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9"/>
      <c r="W73" s="159"/>
      <c r="X73" s="159"/>
      <c r="Y73" s="414">
        <v>3.75</v>
      </c>
      <c r="Z73" s="415">
        <f>Z72-0.3/4</f>
        <v>1.7750000000000001</v>
      </c>
      <c r="AA73" s="159"/>
    </row>
    <row r="74" spans="1:27" ht="17.25" customHeight="1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9"/>
      <c r="W74" s="159"/>
      <c r="X74" s="159"/>
      <c r="Y74" s="412">
        <v>4</v>
      </c>
      <c r="Z74" s="413">
        <v>1.7</v>
      </c>
      <c r="AA74" s="159"/>
    </row>
    <row r="75" spans="1:27" ht="17.25" customHeight="1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9"/>
      <c r="W75" s="159"/>
      <c r="X75" s="159"/>
      <c r="Y75" s="414">
        <v>5</v>
      </c>
      <c r="Z75" s="415">
        <f>Z74-0.2/3</f>
        <v>1.6333333333333333</v>
      </c>
      <c r="AA75" s="159"/>
    </row>
    <row r="76" spans="1:27" ht="17.25" customHeight="1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9"/>
      <c r="W76" s="159"/>
      <c r="X76" s="159"/>
      <c r="Y76" s="414">
        <v>6</v>
      </c>
      <c r="Z76" s="415">
        <f>Z75-0.2/3</f>
        <v>1.5666666666666667</v>
      </c>
      <c r="AA76" s="159"/>
    </row>
    <row r="77" spans="1:27" ht="17.25" customHeight="1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9"/>
      <c r="W77" s="159"/>
      <c r="X77" s="159"/>
      <c r="Y77" s="412">
        <v>7</v>
      </c>
      <c r="Z77" s="413">
        <v>1.5</v>
      </c>
      <c r="AA77" s="159"/>
    </row>
    <row r="78" spans="1:27" ht="17.25" customHeight="1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9"/>
      <c r="W78" s="159"/>
      <c r="X78" s="159"/>
      <c r="Y78" s="414">
        <v>8</v>
      </c>
      <c r="Z78" s="415">
        <f>Z77-0.2/3</f>
        <v>1.4333333333333333</v>
      </c>
      <c r="AA78" s="159"/>
    </row>
    <row r="79" spans="1:27" ht="17.25" customHeight="1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9"/>
      <c r="W79" s="159"/>
      <c r="X79" s="159"/>
      <c r="Y79" s="414">
        <v>9</v>
      </c>
      <c r="Z79" s="415">
        <f>Z78-0.2/3</f>
        <v>1.3666666666666667</v>
      </c>
      <c r="AA79" s="159"/>
    </row>
    <row r="80" spans="1:27" ht="17.25" customHeight="1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9"/>
      <c r="W80" s="159"/>
      <c r="X80" s="159"/>
      <c r="Y80" s="412">
        <v>10</v>
      </c>
      <c r="Z80" s="413">
        <v>1.3</v>
      </c>
      <c r="AA80" s="159"/>
    </row>
    <row r="81" spans="1:27" ht="17.25" customHeight="1" thickBot="1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9"/>
      <c r="W81" s="159"/>
      <c r="X81" s="159"/>
      <c r="Y81" s="467">
        <v>15</v>
      </c>
      <c r="Z81" s="468">
        <v>1.2</v>
      </c>
      <c r="AA81" s="159"/>
    </row>
    <row r="82" spans="1:28" ht="17.25" customHeight="1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9"/>
      <c r="W82" s="159"/>
      <c r="X82" s="159"/>
      <c r="Y82" s="159"/>
      <c r="Z82" s="159"/>
      <c r="AA82" s="159"/>
      <c r="AB82" s="98"/>
    </row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</sheetData>
  <sheetProtection sheet="1" objects="1" scenarios="1"/>
  <mergeCells count="14">
    <mergeCell ref="Y3:Z3"/>
    <mergeCell ref="M1:Z1"/>
    <mergeCell ref="O4:Q4"/>
    <mergeCell ref="C5:E5"/>
    <mergeCell ref="O5:Q5"/>
    <mergeCell ref="A1:K1"/>
    <mergeCell ref="A3:E3"/>
    <mergeCell ref="T3:U3"/>
    <mergeCell ref="W3:X3"/>
    <mergeCell ref="A19:E19"/>
    <mergeCell ref="C6:E6"/>
    <mergeCell ref="C8:E8"/>
    <mergeCell ref="C9:E9"/>
    <mergeCell ref="C10:E10"/>
  </mergeCells>
  <conditionalFormatting sqref="J14 J9">
    <cfRule type="cellIs" priority="1" dxfId="0" operator="greaterThan" stopIfTrue="1">
      <formula>5</formula>
    </cfRule>
  </conditionalFormatting>
  <conditionalFormatting sqref="D28">
    <cfRule type="cellIs" priority="2" dxfId="0" operator="greaterThan" stopIfTrue="1">
      <formula>25</formula>
    </cfRule>
  </conditionalFormatting>
  <conditionalFormatting sqref="J3">
    <cfRule type="cellIs" priority="3" dxfId="0" operator="notBetween" stopIfTrue="1">
      <formula>-1</formula>
      <formula>1</formula>
    </cfRule>
  </conditionalFormatting>
  <conditionalFormatting sqref="D13">
    <cfRule type="cellIs" priority="4" dxfId="2" operator="notBetween" stopIfTrue="1">
      <formula>28</formula>
      <formula>80</formula>
    </cfRule>
  </conditionalFormatting>
  <conditionalFormatting sqref="D15">
    <cfRule type="cellIs" priority="5" dxfId="2" operator="notBetween" stopIfTrue="1">
      <formula>6.3</formula>
      <formula>25</formula>
    </cfRule>
  </conditionalFormatting>
  <printOptions/>
  <pageMargins left="0.7874015748031497" right="0.1968503937007874" top="0.7874015748031497" bottom="0.3937007874015748" header="0.1968503937007874" footer="0.1968503937007874"/>
  <pageSetup fitToHeight="1" fitToWidth="1" horizontalDpi="300" verticalDpi="300" orientation="landscape" paperSize="9" scale="87" r:id="rId4"/>
  <headerFooter alignWithMargins="0">
    <oddFooter>&amp;C&amp;"Arial Cyr,полужирный"-1-&amp;R&amp;"Arial Cyr,полужирный"Воробьев А.В.     &amp;D     &amp;T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30" sqref="A30"/>
    </sheetView>
  </sheetViews>
  <sheetFormatPr defaultColWidth="9.00390625" defaultRowHeight="12.75"/>
  <cols>
    <col min="1" max="1" width="42.125" style="0" bestFit="1" customWidth="1"/>
    <col min="2" max="2" width="7.875" style="0" customWidth="1"/>
    <col min="3" max="3" width="14.125" style="0" bestFit="1" customWidth="1"/>
    <col min="5" max="5" width="42.125" style="0" bestFit="1" customWidth="1"/>
    <col min="7" max="7" width="14.125" style="0" bestFit="1" customWidth="1"/>
  </cols>
  <sheetData>
    <row r="1" spans="1:7" ht="37.5" customHeight="1">
      <c r="A1" s="592" t="s">
        <v>276</v>
      </c>
      <c r="B1" s="592"/>
      <c r="C1" s="592"/>
      <c r="D1" s="525"/>
      <c r="E1" s="525"/>
      <c r="F1" s="525"/>
      <c r="G1" s="525"/>
    </row>
    <row r="2" spans="1:7" ht="20.25" thickBot="1">
      <c r="A2" s="525" t="s">
        <v>277</v>
      </c>
      <c r="B2" s="525"/>
      <c r="C2" s="525"/>
      <c r="D2" s="525"/>
      <c r="E2" s="525"/>
      <c r="F2" s="525"/>
      <c r="G2" s="525"/>
    </row>
    <row r="3" spans="1:4" ht="15" thickBot="1">
      <c r="A3" s="588" t="s">
        <v>110</v>
      </c>
      <c r="B3" s="589"/>
      <c r="C3" s="590"/>
      <c r="D3" s="44"/>
    </row>
    <row r="4" spans="1:3" ht="12.75">
      <c r="A4" s="78" t="s">
        <v>91</v>
      </c>
      <c r="B4" s="21" t="s">
        <v>25</v>
      </c>
      <c r="C4" s="79">
        <f>'Проект-2'!D14</f>
        <v>2.5</v>
      </c>
    </row>
    <row r="5" spans="1:3" ht="14.25">
      <c r="A5" s="80" t="s">
        <v>92</v>
      </c>
      <c r="B5" s="6" t="s">
        <v>56</v>
      </c>
      <c r="C5" s="81">
        <f>'Проект-2'!D12</f>
        <v>2</v>
      </c>
    </row>
    <row r="6" spans="1:3" ht="12.75">
      <c r="A6" s="80" t="s">
        <v>93</v>
      </c>
      <c r="B6" s="6" t="s">
        <v>23</v>
      </c>
      <c r="C6" s="102" t="str">
        <f>'Проект-2'!C8</f>
        <v>ZA</v>
      </c>
    </row>
    <row r="7" spans="1:3" ht="12.75">
      <c r="A7" s="80" t="s">
        <v>94</v>
      </c>
      <c r="B7" s="12" t="s">
        <v>63</v>
      </c>
      <c r="C7" s="82">
        <f>'Проект-2'!D23</f>
        <v>14.036243467926479</v>
      </c>
    </row>
    <row r="8" spans="1:3" ht="12.75">
      <c r="A8" s="80" t="s">
        <v>95</v>
      </c>
      <c r="B8" s="6" t="s">
        <v>23</v>
      </c>
      <c r="C8" s="84" t="s">
        <v>74</v>
      </c>
    </row>
    <row r="9" spans="1:3" ht="12.75">
      <c r="A9" s="80" t="s">
        <v>96</v>
      </c>
      <c r="B9" s="6" t="s">
        <v>23</v>
      </c>
      <c r="C9" s="84" t="s">
        <v>98</v>
      </c>
    </row>
    <row r="10" spans="1:3" ht="13.5" thickBot="1">
      <c r="A10" s="92" t="s">
        <v>99</v>
      </c>
      <c r="B10" s="28" t="s">
        <v>23</v>
      </c>
      <c r="C10" s="99" t="str">
        <f>'Проект-2'!J15</f>
        <v>9-D</v>
      </c>
    </row>
    <row r="11" spans="1:3" ht="14.25">
      <c r="A11" s="94" t="s">
        <v>47</v>
      </c>
      <c r="B11" s="90" t="s">
        <v>49</v>
      </c>
      <c r="C11" s="95">
        <f>'Проект-2'!J26</f>
        <v>20</v>
      </c>
    </row>
    <row r="12" spans="1:3" ht="14.25">
      <c r="A12" s="80" t="s">
        <v>97</v>
      </c>
      <c r="B12" s="6" t="s">
        <v>65</v>
      </c>
      <c r="C12" s="82">
        <f>PI()*C4*C5</f>
        <v>15.707963267948966</v>
      </c>
    </row>
    <row r="13" spans="1:3" ht="14.25">
      <c r="A13" s="85" t="s">
        <v>38</v>
      </c>
      <c r="B13" s="6" t="s">
        <v>101</v>
      </c>
      <c r="C13" s="82">
        <f>'Проект-2'!D16</f>
        <v>50</v>
      </c>
    </row>
    <row r="14" spans="1:3" ht="12.75">
      <c r="A14" s="80" t="s">
        <v>46</v>
      </c>
      <c r="B14" s="6" t="s">
        <v>26</v>
      </c>
      <c r="C14" s="82">
        <f>'Проект-2'!D15</f>
        <v>8</v>
      </c>
    </row>
    <row r="15" spans="1:7" ht="15" thickBot="1">
      <c r="A15" s="87" t="s">
        <v>102</v>
      </c>
      <c r="B15" s="28" t="s">
        <v>57</v>
      </c>
      <c r="C15" s="99">
        <f>'Проект-2'!D13</f>
        <v>32</v>
      </c>
      <c r="E15" s="75"/>
      <c r="F15" s="76"/>
      <c r="G15" s="77"/>
    </row>
    <row r="16" ht="13.5" thickBot="1"/>
    <row r="17" spans="1:3" ht="15" thickBot="1">
      <c r="A17" s="588" t="s">
        <v>111</v>
      </c>
      <c r="B17" s="589"/>
      <c r="C17" s="590"/>
    </row>
    <row r="18" spans="1:3" ht="12.75">
      <c r="A18" s="78" t="s">
        <v>91</v>
      </c>
      <c r="B18" s="21" t="s">
        <v>25</v>
      </c>
      <c r="C18" s="79">
        <f>'Проект-2'!D14</f>
        <v>2.5</v>
      </c>
    </row>
    <row r="19" spans="1:3" ht="14.25">
      <c r="A19" s="80" t="s">
        <v>103</v>
      </c>
      <c r="B19" s="6" t="s">
        <v>57</v>
      </c>
      <c r="C19" s="81">
        <f>'Проект-2'!D13</f>
        <v>32</v>
      </c>
    </row>
    <row r="20" spans="1:3" ht="12.75">
      <c r="A20" s="80" t="s">
        <v>104</v>
      </c>
      <c r="B20" s="12" t="s">
        <v>77</v>
      </c>
      <c r="C20" s="82">
        <f>'Проект-2'!D23</f>
        <v>14.036243467926479</v>
      </c>
    </row>
    <row r="21" spans="1:3" ht="12.75">
      <c r="A21" s="80" t="s">
        <v>105</v>
      </c>
      <c r="B21" s="6" t="s">
        <v>23</v>
      </c>
      <c r="C21" s="84" t="s">
        <v>74</v>
      </c>
    </row>
    <row r="22" spans="1:3" ht="12.75">
      <c r="A22" s="80" t="s">
        <v>106</v>
      </c>
      <c r="B22" s="6" t="s">
        <v>55</v>
      </c>
      <c r="C22" s="82">
        <f>'Проект-2'!J3</f>
        <v>0</v>
      </c>
    </row>
    <row r="23" spans="1:3" ht="12.75">
      <c r="A23" s="80" t="s">
        <v>107</v>
      </c>
      <c r="B23" s="6" t="s">
        <v>23</v>
      </c>
      <c r="C23" s="84" t="s">
        <v>98</v>
      </c>
    </row>
    <row r="24" spans="1:3" ht="13.5" thickBot="1">
      <c r="A24" s="92" t="s">
        <v>99</v>
      </c>
      <c r="B24" s="28" t="s">
        <v>23</v>
      </c>
      <c r="C24" s="99" t="str">
        <f>'Проект-2'!J15</f>
        <v>9-D</v>
      </c>
    </row>
    <row r="25" spans="1:3" ht="14.25">
      <c r="A25" s="89" t="s">
        <v>38</v>
      </c>
      <c r="B25" s="90" t="s">
        <v>101</v>
      </c>
      <c r="C25" s="91">
        <f>'Проект-2'!D16</f>
        <v>50</v>
      </c>
    </row>
    <row r="26" spans="1:3" ht="14.25">
      <c r="A26" s="80" t="s">
        <v>78</v>
      </c>
      <c r="B26" s="6" t="s">
        <v>79</v>
      </c>
      <c r="C26" s="82">
        <f>'Проект-2'!D26</f>
        <v>80</v>
      </c>
    </row>
    <row r="27" spans="1:3" ht="12.75">
      <c r="A27" s="80" t="s">
        <v>108</v>
      </c>
      <c r="B27" s="6" t="s">
        <v>23</v>
      </c>
      <c r="C27" s="101" t="str">
        <f>'Проект-2'!C8</f>
        <v>ZA</v>
      </c>
    </row>
    <row r="28" spans="1:3" ht="15" thickBot="1">
      <c r="A28" s="87" t="s">
        <v>280</v>
      </c>
      <c r="B28" s="28" t="s">
        <v>56</v>
      </c>
      <c r="C28" s="99">
        <f>'Проект-2'!D12</f>
        <v>2</v>
      </c>
    </row>
  </sheetData>
  <sheetProtection sheet="1" objects="1" scenarios="1"/>
  <mergeCells count="3">
    <mergeCell ref="A3:C3"/>
    <mergeCell ref="A17:C17"/>
    <mergeCell ref="A1:C1"/>
  </mergeCells>
  <printOptions/>
  <pageMargins left="0.7874015748031497" right="0.1968503937007874" top="0.7874015748031497" bottom="0.3937007874015748" header="0.1968503937007874" footer="0.1968503937007874"/>
  <pageSetup horizontalDpi="300" verticalDpi="300" orientation="landscape" paperSize="9" r:id="rId1"/>
  <headerFooter alignWithMargins="0">
    <oddFooter>&amp;C&amp;"Arial Cyr,полужирный"-2-&amp;R&amp;"Arial Cyr,полужирный"Воробьев А.В.     &amp;D  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zoomScale="96" zoomScaleNormal="96" workbookViewId="0" topLeftCell="A1">
      <selection activeCell="A40" sqref="A40"/>
    </sheetView>
  </sheetViews>
  <sheetFormatPr defaultColWidth="9.00390625" defaultRowHeight="12.75"/>
  <cols>
    <col min="1" max="1" width="3.125" style="0" bestFit="1" customWidth="1"/>
    <col min="2" max="2" width="44.875" style="0" customWidth="1"/>
    <col min="3" max="3" width="5.875" style="0" bestFit="1" customWidth="1"/>
    <col min="4" max="4" width="9.25390625" style="0" bestFit="1" customWidth="1"/>
    <col min="5" max="5" width="3.75390625" style="0" bestFit="1" customWidth="1"/>
    <col min="9" max="9" width="6.00390625" style="0" bestFit="1" customWidth="1"/>
    <col min="10" max="10" width="5.00390625" style="0" bestFit="1" customWidth="1"/>
    <col min="11" max="11" width="6.00390625" style="0" bestFit="1" customWidth="1"/>
    <col min="12" max="12" width="5.00390625" style="0" bestFit="1" customWidth="1"/>
    <col min="13" max="13" width="10.125" style="0" bestFit="1" customWidth="1"/>
    <col min="14" max="14" width="5.00390625" style="0" bestFit="1" customWidth="1"/>
    <col min="15" max="15" width="6.00390625" style="0" bestFit="1" customWidth="1"/>
  </cols>
  <sheetData>
    <row r="1" spans="1:15" ht="56.25" customHeight="1">
      <c r="A1" s="592" t="s">
        <v>279</v>
      </c>
      <c r="B1" s="592"/>
      <c r="C1" s="592"/>
      <c r="D1" s="592"/>
      <c r="E1" s="592"/>
      <c r="G1" s="579" t="s">
        <v>228</v>
      </c>
      <c r="H1" s="579"/>
      <c r="I1" s="579"/>
      <c r="J1" s="579"/>
      <c r="K1" s="579"/>
      <c r="L1" s="579"/>
      <c r="M1" s="579" t="s">
        <v>252</v>
      </c>
      <c r="N1" s="579"/>
      <c r="O1" s="579"/>
    </row>
    <row r="2" spans="1:5" ht="17.25" customHeight="1" thickBot="1">
      <c r="A2" s="594" t="s">
        <v>281</v>
      </c>
      <c r="B2" s="595"/>
      <c r="C2" s="595"/>
      <c r="D2" s="595"/>
      <c r="E2" s="595"/>
    </row>
    <row r="3" spans="1:15" ht="17.25" customHeight="1" thickBot="1">
      <c r="A3" s="580" t="s">
        <v>185</v>
      </c>
      <c r="B3" s="581"/>
      <c r="C3" s="581"/>
      <c r="D3" s="581"/>
      <c r="E3" s="582"/>
      <c r="G3" s="113" t="s">
        <v>243</v>
      </c>
      <c r="H3" s="113" t="s">
        <v>212</v>
      </c>
      <c r="I3" s="583" t="s">
        <v>248</v>
      </c>
      <c r="J3" s="584"/>
      <c r="K3" s="585" t="s">
        <v>249</v>
      </c>
      <c r="L3" s="586"/>
      <c r="M3" s="585" t="s">
        <v>216</v>
      </c>
      <c r="N3" s="586"/>
      <c r="O3" s="587"/>
    </row>
    <row r="4" spans="1:15" ht="17.25" customHeight="1" thickBot="1">
      <c r="A4" s="40">
        <v>1</v>
      </c>
      <c r="B4" s="41" t="s">
        <v>73</v>
      </c>
      <c r="C4" s="42"/>
      <c r="D4" s="148" t="str">
        <f>INDEX(G7:G8,G5)</f>
        <v>правое</v>
      </c>
      <c r="E4" s="43"/>
      <c r="G4" s="4" t="s">
        <v>40</v>
      </c>
      <c r="H4" s="129" t="s">
        <v>40</v>
      </c>
      <c r="I4" s="131"/>
      <c r="J4" s="112"/>
      <c r="K4" s="136"/>
      <c r="L4" s="137"/>
      <c r="M4" s="136"/>
      <c r="N4" s="114"/>
      <c r="O4" s="115"/>
    </row>
    <row r="5" spans="1:15" ht="17.25" customHeight="1" thickBot="1">
      <c r="A5" s="49">
        <v>2</v>
      </c>
      <c r="B5" s="50" t="s">
        <v>42</v>
      </c>
      <c r="C5" s="51" t="s">
        <v>58</v>
      </c>
      <c r="D5" s="143">
        <v>16</v>
      </c>
      <c r="E5" s="52" t="s">
        <v>36</v>
      </c>
      <c r="G5" s="149">
        <v>1</v>
      </c>
      <c r="H5" s="119">
        <v>2</v>
      </c>
      <c r="I5" s="132"/>
      <c r="J5" s="105"/>
      <c r="K5" s="104"/>
      <c r="L5" s="105"/>
      <c r="M5" s="104"/>
      <c r="N5" s="97"/>
      <c r="O5" s="96"/>
    </row>
    <row r="6" spans="1:15" ht="17.25" customHeight="1" thickBot="1">
      <c r="A6" s="24">
        <v>3</v>
      </c>
      <c r="B6" s="10" t="s">
        <v>43</v>
      </c>
      <c r="C6" s="9" t="s">
        <v>59</v>
      </c>
      <c r="D6" s="144">
        <v>25</v>
      </c>
      <c r="E6" s="25" t="s">
        <v>36</v>
      </c>
      <c r="G6" s="2" t="s">
        <v>247</v>
      </c>
      <c r="H6" s="124" t="s">
        <v>56</v>
      </c>
      <c r="I6" s="103" t="s">
        <v>245</v>
      </c>
      <c r="J6" s="130" t="s">
        <v>25</v>
      </c>
      <c r="K6" s="2" t="s">
        <v>246</v>
      </c>
      <c r="L6" s="125" t="s">
        <v>26</v>
      </c>
      <c r="M6" s="576" t="s">
        <v>250</v>
      </c>
      <c r="N6" s="577"/>
      <c r="O6" s="578"/>
    </row>
    <row r="7" spans="1:15" ht="17.25" customHeight="1" thickBot="1">
      <c r="A7" s="26">
        <v>4</v>
      </c>
      <c r="B7" s="27" t="s">
        <v>45</v>
      </c>
      <c r="C7" s="28" t="s">
        <v>56</v>
      </c>
      <c r="D7" s="147">
        <f>INDEX(H7:H9,H5)</f>
        <v>2</v>
      </c>
      <c r="E7" s="30"/>
      <c r="G7" s="123" t="s">
        <v>74</v>
      </c>
      <c r="H7" s="45">
        <v>1</v>
      </c>
      <c r="I7" s="128">
        <v>0.7</v>
      </c>
      <c r="J7" s="116">
        <v>0.8</v>
      </c>
      <c r="K7" s="133">
        <v>6.3</v>
      </c>
      <c r="L7" s="111">
        <v>6.3</v>
      </c>
      <c r="M7" s="135"/>
      <c r="N7" s="574" t="s">
        <v>244</v>
      </c>
      <c r="O7" s="575"/>
    </row>
    <row r="8" spans="1:15" ht="17.25" customHeight="1" thickBot="1">
      <c r="A8" s="40">
        <v>5</v>
      </c>
      <c r="B8" s="41" t="s">
        <v>1</v>
      </c>
      <c r="C8" s="42" t="s">
        <v>57</v>
      </c>
      <c r="D8" s="145">
        <v>32</v>
      </c>
      <c r="E8" s="43"/>
      <c r="G8" s="122" t="s">
        <v>75</v>
      </c>
      <c r="H8" s="46">
        <v>2</v>
      </c>
      <c r="I8" s="107">
        <v>0.8</v>
      </c>
      <c r="J8" s="100">
        <v>0.8</v>
      </c>
      <c r="K8" s="134">
        <v>6.7</v>
      </c>
      <c r="L8" s="126">
        <v>7.1</v>
      </c>
      <c r="M8" s="138" t="s">
        <v>55</v>
      </c>
      <c r="N8" s="141" t="s">
        <v>72</v>
      </c>
      <c r="O8" s="142">
        <v>4</v>
      </c>
    </row>
    <row r="9" spans="1:15" ht="17.25" customHeight="1" thickBot="1">
      <c r="A9" s="53">
        <v>6</v>
      </c>
      <c r="B9" s="54" t="s">
        <v>38</v>
      </c>
      <c r="C9" s="55" t="s">
        <v>101</v>
      </c>
      <c r="D9" s="146">
        <v>50</v>
      </c>
      <c r="E9" s="56" t="s">
        <v>36</v>
      </c>
      <c r="H9" s="3">
        <v>4</v>
      </c>
      <c r="I9" s="106">
        <v>0.9</v>
      </c>
      <c r="J9" s="100">
        <v>1</v>
      </c>
      <c r="K9" s="134">
        <v>7.1</v>
      </c>
      <c r="L9" s="126">
        <v>7.1</v>
      </c>
      <c r="M9" s="139" t="s">
        <v>69</v>
      </c>
      <c r="N9" s="16">
        <f>(8+0.06*$D$8)*$D$14</f>
        <v>24.8</v>
      </c>
      <c r="O9" s="15">
        <f>(9.5+0.09*$D$8)*$D$14</f>
        <v>30.949999999999996</v>
      </c>
    </row>
    <row r="10" spans="1:15" ht="17.25" customHeight="1" thickBot="1">
      <c r="A10" s="1"/>
      <c r="B10" s="1"/>
      <c r="C10" s="1"/>
      <c r="D10" s="1"/>
      <c r="E10" s="1"/>
      <c r="I10" s="107">
        <v>1</v>
      </c>
      <c r="J10" s="100">
        <v>1</v>
      </c>
      <c r="K10" s="134">
        <v>7.55</v>
      </c>
      <c r="L10" s="110">
        <v>8</v>
      </c>
      <c r="M10" s="139" t="s">
        <v>68</v>
      </c>
      <c r="N10" s="17">
        <f>(11+0.06*$D$8)*$D$14</f>
        <v>32.3</v>
      </c>
      <c r="O10" s="13">
        <f>(12.5+0.09*$D$8)*$D$14</f>
        <v>38.449999999999996</v>
      </c>
    </row>
    <row r="11" spans="1:15" ht="17.25" customHeight="1" thickBot="1">
      <c r="A11" s="580" t="s">
        <v>186</v>
      </c>
      <c r="B11" s="581"/>
      <c r="C11" s="581"/>
      <c r="D11" s="581"/>
      <c r="E11" s="582"/>
      <c r="I11" s="106">
        <v>1.125</v>
      </c>
      <c r="J11" s="100">
        <v>1.25</v>
      </c>
      <c r="K11" s="120">
        <v>8</v>
      </c>
      <c r="L11" s="100">
        <v>8</v>
      </c>
      <c r="M11" s="139" t="s">
        <v>70</v>
      </c>
      <c r="N11" s="17">
        <f>(11+0.1*$D$8)*$D$14</f>
        <v>35.5</v>
      </c>
      <c r="O11" s="13">
        <f>(12.5+0.1*$D$8)*$D$14</f>
        <v>39.25</v>
      </c>
    </row>
    <row r="12" spans="1:15" ht="17.25" customHeight="1" thickBot="1">
      <c r="A12" s="19">
        <v>1</v>
      </c>
      <c r="B12" s="20" t="s">
        <v>2</v>
      </c>
      <c r="C12" s="21" t="s">
        <v>3</v>
      </c>
      <c r="D12" s="22">
        <f>D8/D7</f>
        <v>16</v>
      </c>
      <c r="E12" s="23"/>
      <c r="I12" s="107">
        <v>1.25</v>
      </c>
      <c r="J12" s="100">
        <v>1.25</v>
      </c>
      <c r="K12" s="134">
        <v>8.5</v>
      </c>
      <c r="L12" s="127">
        <v>9</v>
      </c>
      <c r="M12" s="140" t="s">
        <v>71</v>
      </c>
      <c r="N12" s="18">
        <f>(12+0.1*$D$8)*$D$14</f>
        <v>38</v>
      </c>
      <c r="O12" s="14">
        <f>(13+0.1*$D$8)*$D$14</f>
        <v>40.5</v>
      </c>
    </row>
    <row r="13" spans="1:12" ht="17.25" customHeight="1">
      <c r="A13" s="24">
        <v>2</v>
      </c>
      <c r="B13" s="10" t="s">
        <v>52</v>
      </c>
      <c r="C13" s="9" t="s">
        <v>60</v>
      </c>
      <c r="D13" s="11">
        <f>D5/PI()/D7</f>
        <v>2.5464790894703255</v>
      </c>
      <c r="E13" s="25" t="s">
        <v>36</v>
      </c>
      <c r="I13" s="106">
        <v>1.425</v>
      </c>
      <c r="J13" s="100">
        <v>1.6</v>
      </c>
      <c r="K13" s="134">
        <v>9</v>
      </c>
      <c r="L13" s="127">
        <v>9</v>
      </c>
    </row>
    <row r="14" spans="1:12" ht="17.25" customHeight="1" thickBot="1">
      <c r="A14" s="26">
        <v>3</v>
      </c>
      <c r="B14" s="27" t="s">
        <v>41</v>
      </c>
      <c r="C14" s="28" t="s">
        <v>25</v>
      </c>
      <c r="D14" s="29">
        <f>LOOKUP(D13,I7:I48,J7:J48)</f>
        <v>2.5</v>
      </c>
      <c r="E14" s="30" t="s">
        <v>36</v>
      </c>
      <c r="I14" s="107">
        <v>1.6</v>
      </c>
      <c r="J14" s="100">
        <v>1.6</v>
      </c>
      <c r="K14" s="134">
        <v>9.5</v>
      </c>
      <c r="L14" s="100">
        <v>10</v>
      </c>
    </row>
    <row r="15" spans="1:12" ht="17.25" customHeight="1">
      <c r="A15" s="31">
        <v>4</v>
      </c>
      <c r="B15" s="32" t="s">
        <v>53</v>
      </c>
      <c r="C15" s="33" t="s">
        <v>61</v>
      </c>
      <c r="D15" s="34">
        <f>(D6-2*D14)/D14</f>
        <v>8</v>
      </c>
      <c r="E15" s="35"/>
      <c r="I15" s="106">
        <v>1.8</v>
      </c>
      <c r="J15" s="100">
        <v>2</v>
      </c>
      <c r="K15" s="120">
        <v>10</v>
      </c>
      <c r="L15" s="100">
        <v>10</v>
      </c>
    </row>
    <row r="16" spans="1:12" ht="17.25" customHeight="1">
      <c r="A16" s="36">
        <v>5</v>
      </c>
      <c r="B16" s="5" t="s">
        <v>46</v>
      </c>
      <c r="C16" s="6" t="s">
        <v>26</v>
      </c>
      <c r="D16" s="7">
        <f>LOOKUP(D15,K7:K31,L7:L31)</f>
        <v>8</v>
      </c>
      <c r="E16" s="37"/>
      <c r="I16" s="107">
        <v>2</v>
      </c>
      <c r="J16" s="100">
        <v>2</v>
      </c>
      <c r="K16" s="134">
        <v>10.6</v>
      </c>
      <c r="L16" s="127">
        <v>11.2</v>
      </c>
    </row>
    <row r="17" spans="1:12" ht="17.25" customHeight="1">
      <c r="A17" s="36">
        <v>6</v>
      </c>
      <c r="B17" s="5" t="s">
        <v>42</v>
      </c>
      <c r="C17" s="6" t="s">
        <v>65</v>
      </c>
      <c r="D17" s="7">
        <f>PI()*D14*D7</f>
        <v>15.707963267948966</v>
      </c>
      <c r="E17" s="38" t="s">
        <v>36</v>
      </c>
      <c r="I17" s="106">
        <v>2.25</v>
      </c>
      <c r="J17" s="100">
        <v>2.5</v>
      </c>
      <c r="K17" s="134">
        <v>11.2</v>
      </c>
      <c r="L17" s="127">
        <v>11.2</v>
      </c>
    </row>
    <row r="18" spans="1:12" ht="17.25" customHeight="1">
      <c r="A18" s="36">
        <v>7</v>
      </c>
      <c r="B18" s="5" t="s">
        <v>44</v>
      </c>
      <c r="C18" s="6" t="s">
        <v>66</v>
      </c>
      <c r="D18" s="7">
        <f>PI()*D14</f>
        <v>7.853981633974483</v>
      </c>
      <c r="E18" s="37" t="s">
        <v>36</v>
      </c>
      <c r="I18" s="107">
        <v>2.5</v>
      </c>
      <c r="J18" s="100">
        <v>2.5</v>
      </c>
      <c r="K18" s="134">
        <v>11.85</v>
      </c>
      <c r="L18" s="100">
        <v>12.5</v>
      </c>
    </row>
    <row r="19" spans="1:12" ht="17.25" customHeight="1">
      <c r="A19" s="36">
        <v>8</v>
      </c>
      <c r="B19" s="5" t="s">
        <v>62</v>
      </c>
      <c r="C19" s="12" t="s">
        <v>63</v>
      </c>
      <c r="D19" s="7">
        <f>DEGREES(ATAN2(D16,D7))</f>
        <v>14.036243467926479</v>
      </c>
      <c r="E19" s="39" t="s">
        <v>64</v>
      </c>
      <c r="I19" s="106">
        <v>2.75</v>
      </c>
      <c r="J19" s="127">
        <v>3</v>
      </c>
      <c r="K19" s="120">
        <v>12.5</v>
      </c>
      <c r="L19" s="100">
        <v>12.5</v>
      </c>
    </row>
    <row r="20" spans="1:12" ht="17.25" customHeight="1">
      <c r="A20" s="36">
        <v>9</v>
      </c>
      <c r="B20" s="5" t="s">
        <v>43</v>
      </c>
      <c r="C20" s="6" t="s">
        <v>48</v>
      </c>
      <c r="D20" s="7">
        <f>D14*(D16+2)</f>
        <v>25</v>
      </c>
      <c r="E20" s="37" t="s">
        <v>36</v>
      </c>
      <c r="I20" s="106">
        <v>3</v>
      </c>
      <c r="J20" s="127">
        <v>3</v>
      </c>
      <c r="K20" s="134">
        <v>13.25</v>
      </c>
      <c r="L20" s="127">
        <v>14</v>
      </c>
    </row>
    <row r="21" spans="1:12" ht="17.25" customHeight="1">
      <c r="A21" s="36">
        <v>10</v>
      </c>
      <c r="B21" s="8" t="s">
        <v>47</v>
      </c>
      <c r="C21" s="6" t="s">
        <v>49</v>
      </c>
      <c r="D21" s="7">
        <f>D16*D14</f>
        <v>20</v>
      </c>
      <c r="E21" s="37" t="s">
        <v>36</v>
      </c>
      <c r="I21" s="106">
        <v>3.075</v>
      </c>
      <c r="J21" s="100">
        <v>3.15</v>
      </c>
      <c r="K21" s="134">
        <v>14</v>
      </c>
      <c r="L21" s="127">
        <v>14</v>
      </c>
    </row>
    <row r="22" spans="1:12" ht="17.25" customHeight="1">
      <c r="A22" s="36">
        <v>11</v>
      </c>
      <c r="B22" s="5" t="s">
        <v>50</v>
      </c>
      <c r="C22" s="6" t="s">
        <v>51</v>
      </c>
      <c r="D22" s="7">
        <f>D14*(D16-2.4)</f>
        <v>14</v>
      </c>
      <c r="E22" s="37" t="s">
        <v>36</v>
      </c>
      <c r="I22" s="107">
        <v>3.15</v>
      </c>
      <c r="J22" s="100">
        <v>3.15</v>
      </c>
      <c r="K22" s="134">
        <v>15</v>
      </c>
      <c r="L22" s="100">
        <v>16</v>
      </c>
    </row>
    <row r="23" spans="1:12" ht="17.25" customHeight="1" thickBot="1">
      <c r="A23" s="57">
        <v>12</v>
      </c>
      <c r="B23" s="58" t="s">
        <v>67</v>
      </c>
      <c r="C23" s="59" t="s">
        <v>86</v>
      </c>
      <c r="D23" s="60">
        <f>IF(AND(OR(D7=1,D7=2),AND(D24&gt;-1,D24&lt;=-0.5)),(8+0.06*D8)*D14)+IF(AND(OR(D7=1,D7=2),AND(D24&gt;-0.5,D24&lt;=0)),(11+0.06*D8)*D14)+IF(AND(OR(D7=1,D7=2),AND(D24&gt;0,D24&lt;=0.5)),(11+0.1*D8)*D14)+IF(AND(OR(D7=1,D7=2),AND(D24&gt;0.5,D24&lt;=1)),(12+0.1*D8)*D14)+IF(AND(D7=4,AND(D24&gt;-1,D24&lt;=-0.5)),(9.5+0.09*D8)*D14)+IF(AND(D7=4,AND(D24&gt;-0.5,D24&lt;=0)),(12.5+0.09*D8)*D14)+IF(AND(D7=4,AND(D24&gt;0,D24&lt;=0.5)),(12.5+0.1*D8)*D14)+IF(AND(D7=4,AND(D24&gt;0.5,D24&lt;=1)),(13+0.1*D8)*D14)</f>
        <v>32.3</v>
      </c>
      <c r="E23" s="61" t="s">
        <v>36</v>
      </c>
      <c r="I23" s="106">
        <v>3.325</v>
      </c>
      <c r="J23" s="127">
        <v>3.5</v>
      </c>
      <c r="K23" s="120">
        <v>16</v>
      </c>
      <c r="L23" s="100">
        <v>16</v>
      </c>
    </row>
    <row r="24" spans="1:12" ht="17.25" customHeight="1">
      <c r="A24" s="19">
        <v>13</v>
      </c>
      <c r="B24" s="47" t="s">
        <v>54</v>
      </c>
      <c r="C24" s="21" t="s">
        <v>55</v>
      </c>
      <c r="D24" s="22">
        <f>D9/D14-(D8+D16)/2</f>
        <v>0</v>
      </c>
      <c r="E24" s="48"/>
      <c r="I24" s="106">
        <v>3.5</v>
      </c>
      <c r="J24" s="127">
        <v>3.5</v>
      </c>
      <c r="K24" s="134">
        <v>17</v>
      </c>
      <c r="L24" s="127">
        <v>18</v>
      </c>
    </row>
    <row r="25" spans="1:12" ht="15.75" customHeight="1">
      <c r="A25" s="36">
        <v>14</v>
      </c>
      <c r="B25" s="5" t="s">
        <v>76</v>
      </c>
      <c r="C25" s="12" t="s">
        <v>77</v>
      </c>
      <c r="D25" s="7">
        <f>D19</f>
        <v>14.036243467926479</v>
      </c>
      <c r="E25" s="39" t="s">
        <v>64</v>
      </c>
      <c r="I25" s="106">
        <v>3.75</v>
      </c>
      <c r="J25" s="100">
        <v>4</v>
      </c>
      <c r="K25" s="134">
        <v>18</v>
      </c>
      <c r="L25" s="127">
        <v>18</v>
      </c>
    </row>
    <row r="26" spans="1:12" ht="15.75" customHeight="1">
      <c r="A26" s="24">
        <v>15</v>
      </c>
      <c r="B26" s="66" t="s">
        <v>82</v>
      </c>
      <c r="C26" s="9" t="s">
        <v>85</v>
      </c>
      <c r="D26" s="11">
        <f>D27+6*D14/(D7+2)</f>
        <v>88.75</v>
      </c>
      <c r="E26" s="25" t="s">
        <v>36</v>
      </c>
      <c r="I26" s="107">
        <v>4</v>
      </c>
      <c r="J26" s="100">
        <v>4</v>
      </c>
      <c r="K26" s="134">
        <v>19</v>
      </c>
      <c r="L26" s="100">
        <v>20</v>
      </c>
    </row>
    <row r="27" spans="1:12" ht="15.75" customHeight="1">
      <c r="A27" s="36">
        <v>16</v>
      </c>
      <c r="B27" s="5" t="s">
        <v>83</v>
      </c>
      <c r="C27" s="6" t="s">
        <v>80</v>
      </c>
      <c r="D27" s="7">
        <f>D14*(D8+2+2*D24)</f>
        <v>85</v>
      </c>
      <c r="E27" s="37" t="s">
        <v>36</v>
      </c>
      <c r="I27" s="106">
        <v>4.5</v>
      </c>
      <c r="J27" s="100">
        <v>5</v>
      </c>
      <c r="K27" s="120">
        <v>20</v>
      </c>
      <c r="L27" s="100">
        <v>20</v>
      </c>
    </row>
    <row r="28" spans="1:12" ht="15.75" customHeight="1">
      <c r="A28" s="36">
        <v>17</v>
      </c>
      <c r="B28" s="8" t="s">
        <v>78</v>
      </c>
      <c r="C28" s="6" t="s">
        <v>79</v>
      </c>
      <c r="D28" s="7">
        <f>D8*D14</f>
        <v>80</v>
      </c>
      <c r="E28" s="37" t="s">
        <v>36</v>
      </c>
      <c r="I28" s="107">
        <v>5</v>
      </c>
      <c r="J28" s="100">
        <v>5</v>
      </c>
      <c r="K28" s="134">
        <v>21.2</v>
      </c>
      <c r="L28" s="127">
        <v>22.4</v>
      </c>
    </row>
    <row r="29" spans="1:12" ht="15.75" customHeight="1">
      <c r="A29" s="36">
        <v>18</v>
      </c>
      <c r="B29" s="5" t="s">
        <v>84</v>
      </c>
      <c r="C29" s="6" t="s">
        <v>81</v>
      </c>
      <c r="D29" s="7">
        <f>D14*(D8-2.4+2*D24)</f>
        <v>74</v>
      </c>
      <c r="E29" s="37" t="s">
        <v>36</v>
      </c>
      <c r="I29" s="106">
        <v>5.5</v>
      </c>
      <c r="J29" s="127">
        <v>6</v>
      </c>
      <c r="K29" s="134">
        <v>22.4</v>
      </c>
      <c r="L29" s="127">
        <v>22.4</v>
      </c>
    </row>
    <row r="30" spans="1:12" ht="15.75" customHeight="1" thickBot="1">
      <c r="A30" s="62">
        <v>19</v>
      </c>
      <c r="B30" s="69" t="s">
        <v>88</v>
      </c>
      <c r="C30" s="63" t="s">
        <v>87</v>
      </c>
      <c r="D30" s="64">
        <f>IF(OR(D7=1,D7=2),0.75*D20)+IF(D7=4,0.67*D20)</f>
        <v>18.75</v>
      </c>
      <c r="E30" s="65" t="s">
        <v>36</v>
      </c>
      <c r="I30" s="106">
        <v>6</v>
      </c>
      <c r="J30" s="127">
        <v>6</v>
      </c>
      <c r="K30" s="134">
        <v>23.7</v>
      </c>
      <c r="L30" s="100">
        <v>25</v>
      </c>
    </row>
    <row r="31" spans="1:12" ht="15" thickBot="1">
      <c r="A31" s="70">
        <v>20</v>
      </c>
      <c r="B31" s="71" t="s">
        <v>89</v>
      </c>
      <c r="C31" s="72" t="s">
        <v>90</v>
      </c>
      <c r="D31" s="73">
        <f>DEGREES(2*ASIN(D30/(D20-D14/2)))</f>
        <v>104.2727072765393</v>
      </c>
      <c r="E31" s="74" t="s">
        <v>64</v>
      </c>
      <c r="I31" s="106">
        <v>6.15</v>
      </c>
      <c r="J31" s="100">
        <v>6.3</v>
      </c>
      <c r="K31" s="121">
        <v>25</v>
      </c>
      <c r="L31" s="109">
        <v>25</v>
      </c>
    </row>
    <row r="32" spans="1:10" ht="12.75">
      <c r="A32" s="596" t="s">
        <v>282</v>
      </c>
      <c r="B32" s="596"/>
      <c r="C32" s="596"/>
      <c r="D32" s="596"/>
      <c r="E32" s="596"/>
      <c r="I32" s="107">
        <v>6.3</v>
      </c>
      <c r="J32" s="100">
        <v>6.3</v>
      </c>
    </row>
    <row r="33" spans="1:10" ht="15.75">
      <c r="A33" s="524"/>
      <c r="B33" s="524"/>
      <c r="C33" s="524"/>
      <c r="D33" s="524"/>
      <c r="E33" s="524"/>
      <c r="I33" s="106">
        <v>6.65</v>
      </c>
      <c r="J33" s="127">
        <v>7</v>
      </c>
    </row>
    <row r="34" spans="1:10" ht="15.75">
      <c r="A34" s="524"/>
      <c r="B34" s="524"/>
      <c r="C34" s="524"/>
      <c r="D34" s="524"/>
      <c r="E34" s="524"/>
      <c r="I34" s="106">
        <v>7</v>
      </c>
      <c r="J34" s="127">
        <v>7</v>
      </c>
    </row>
    <row r="35" spans="9:10" ht="12.75">
      <c r="I35" s="106">
        <v>7.5</v>
      </c>
      <c r="J35" s="100">
        <v>8</v>
      </c>
    </row>
    <row r="36" spans="9:10" ht="12.75">
      <c r="I36" s="107">
        <v>8</v>
      </c>
      <c r="J36" s="100">
        <v>8</v>
      </c>
    </row>
    <row r="37" spans="9:10" ht="12.75">
      <c r="I37" s="106">
        <v>9</v>
      </c>
      <c r="J37" s="100">
        <v>10</v>
      </c>
    </row>
    <row r="38" spans="9:10" ht="12.75">
      <c r="I38" s="107">
        <v>10</v>
      </c>
      <c r="J38" s="100">
        <v>10</v>
      </c>
    </row>
    <row r="39" spans="9:10" ht="12.75">
      <c r="I39" s="106">
        <v>11</v>
      </c>
      <c r="J39" s="127">
        <v>12</v>
      </c>
    </row>
    <row r="40" spans="9:10" ht="12.75">
      <c r="I40" s="106">
        <v>12</v>
      </c>
      <c r="J40" s="127">
        <v>12</v>
      </c>
    </row>
    <row r="41" spans="9:10" ht="12.75">
      <c r="I41" s="106">
        <v>12.25</v>
      </c>
      <c r="J41" s="100">
        <v>12.5</v>
      </c>
    </row>
    <row r="42" spans="9:10" ht="12.75">
      <c r="I42" s="107">
        <v>12.5</v>
      </c>
      <c r="J42" s="100">
        <v>12.5</v>
      </c>
    </row>
    <row r="43" spans="9:10" ht="12.75">
      <c r="I43" s="106">
        <v>14.25</v>
      </c>
      <c r="J43" s="100">
        <v>16</v>
      </c>
    </row>
    <row r="44" spans="9:10" ht="12.75">
      <c r="I44" s="107">
        <v>16</v>
      </c>
      <c r="J44" s="100">
        <v>16</v>
      </c>
    </row>
    <row r="45" spans="9:10" ht="12.75">
      <c r="I45" s="106">
        <v>18</v>
      </c>
      <c r="J45" s="100">
        <v>20</v>
      </c>
    </row>
    <row r="46" spans="9:10" ht="12.75">
      <c r="I46" s="107">
        <v>20</v>
      </c>
      <c r="J46" s="100">
        <v>20</v>
      </c>
    </row>
    <row r="47" spans="9:10" ht="12.75">
      <c r="I47" s="106">
        <v>22.5</v>
      </c>
      <c r="J47" s="100">
        <v>25</v>
      </c>
    </row>
    <row r="48" spans="9:10" ht="13.5" thickBot="1">
      <c r="I48" s="108">
        <v>25</v>
      </c>
      <c r="J48" s="109">
        <v>25</v>
      </c>
    </row>
  </sheetData>
  <sheetProtection sheet="1" objects="1" scenarios="1"/>
  <mergeCells count="11">
    <mergeCell ref="A1:E1"/>
    <mergeCell ref="A32:E32"/>
    <mergeCell ref="M1:O1"/>
    <mergeCell ref="A3:E3"/>
    <mergeCell ref="A11:E11"/>
    <mergeCell ref="G1:L1"/>
    <mergeCell ref="I3:J3"/>
    <mergeCell ref="K3:L3"/>
    <mergeCell ref="M3:O3"/>
    <mergeCell ref="N7:O7"/>
    <mergeCell ref="M6:O6"/>
  </mergeCells>
  <conditionalFormatting sqref="D24">
    <cfRule type="cellIs" priority="1" dxfId="2" operator="notBetween" stopIfTrue="1">
      <formula>-0.999</formula>
      <formula>0.999</formula>
    </cfRule>
  </conditionalFormatting>
  <printOptions/>
  <pageMargins left="0.7874015748031497" right="0.1968503937007874" top="0.7874015748031497" bottom="0.3937007874015748" header="0.1968503937007874" footer="0.1968503937007874"/>
  <pageSetup horizontalDpi="300" verticalDpi="300" orientation="landscape" paperSize="9" r:id="rId3"/>
  <headerFooter alignWithMargins="0">
    <oddFooter>&amp;C&amp;"Arial Cyr,полужирный"- 1 -&amp;R&amp;"Arial Cyr,полужирный"Воробьев А.В.     &amp;D    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30" sqref="A30"/>
    </sheetView>
  </sheetViews>
  <sheetFormatPr defaultColWidth="9.00390625" defaultRowHeight="12.75"/>
  <cols>
    <col min="1" max="1" width="42.125" style="0" bestFit="1" customWidth="1"/>
    <col min="2" max="2" width="7.875" style="0" customWidth="1"/>
    <col min="3" max="3" width="14.125" style="0" bestFit="1" customWidth="1"/>
    <col min="5" max="5" width="42.125" style="0" bestFit="1" customWidth="1"/>
    <col min="7" max="7" width="14.125" style="0" bestFit="1" customWidth="1"/>
  </cols>
  <sheetData>
    <row r="1" spans="1:11" ht="56.25" customHeight="1">
      <c r="A1" s="592" t="s">
        <v>279</v>
      </c>
      <c r="B1" s="592"/>
      <c r="C1" s="592"/>
      <c r="D1" s="525"/>
      <c r="E1" s="525"/>
      <c r="F1" s="525"/>
      <c r="G1" s="525"/>
      <c r="H1" s="68"/>
      <c r="I1" s="68"/>
      <c r="J1" s="68"/>
      <c r="K1" s="68"/>
    </row>
    <row r="2" spans="1:7" ht="20.25" thickBot="1">
      <c r="A2" s="525" t="s">
        <v>278</v>
      </c>
      <c r="B2" s="525"/>
      <c r="C2" s="525"/>
      <c r="D2" s="525"/>
      <c r="E2" s="525"/>
      <c r="F2" s="525"/>
      <c r="G2" s="525"/>
    </row>
    <row r="3" spans="1:4" ht="15" thickBot="1">
      <c r="A3" s="588" t="s">
        <v>110</v>
      </c>
      <c r="B3" s="589"/>
      <c r="C3" s="590"/>
      <c r="D3" s="44"/>
    </row>
    <row r="4" spans="1:3" ht="12.75">
      <c r="A4" s="78" t="s">
        <v>91</v>
      </c>
      <c r="B4" s="21" t="s">
        <v>25</v>
      </c>
      <c r="C4" s="79">
        <f>Ремонт!D14</f>
        <v>2.5</v>
      </c>
    </row>
    <row r="5" spans="1:3" ht="14.25">
      <c r="A5" s="80" t="s">
        <v>92</v>
      </c>
      <c r="B5" s="6" t="s">
        <v>56</v>
      </c>
      <c r="C5" s="81">
        <f>Ремонт!D7</f>
        <v>2</v>
      </c>
    </row>
    <row r="6" spans="1:3" ht="12.75">
      <c r="A6" s="80" t="s">
        <v>93</v>
      </c>
      <c r="B6" s="6" t="s">
        <v>23</v>
      </c>
      <c r="C6" s="86" t="s">
        <v>34</v>
      </c>
    </row>
    <row r="7" spans="1:3" ht="13.5" customHeight="1">
      <c r="A7" s="80" t="s">
        <v>94</v>
      </c>
      <c r="B7" s="12" t="s">
        <v>63</v>
      </c>
      <c r="C7" s="82">
        <f>Ремонт!D25</f>
        <v>14.036243467926479</v>
      </c>
    </row>
    <row r="8" spans="1:3" ht="12.75">
      <c r="A8" s="80" t="s">
        <v>95</v>
      </c>
      <c r="B8" s="6" t="s">
        <v>23</v>
      </c>
      <c r="C8" s="83" t="str">
        <f>Ремонт!D4</f>
        <v>правое</v>
      </c>
    </row>
    <row r="9" spans="1:3" ht="12.75">
      <c r="A9" s="80" t="s">
        <v>96</v>
      </c>
      <c r="B9" s="6" t="s">
        <v>23</v>
      </c>
      <c r="C9" s="84" t="s">
        <v>98</v>
      </c>
    </row>
    <row r="10" spans="1:3" ht="13.5" thickBot="1">
      <c r="A10" s="92" t="s">
        <v>99</v>
      </c>
      <c r="B10" s="28" t="s">
        <v>23</v>
      </c>
      <c r="C10" s="93" t="s">
        <v>100</v>
      </c>
    </row>
    <row r="11" spans="1:3" ht="14.25">
      <c r="A11" s="94" t="s">
        <v>47</v>
      </c>
      <c r="B11" s="90" t="s">
        <v>49</v>
      </c>
      <c r="C11" s="95">
        <f>Ремонт!D21</f>
        <v>20</v>
      </c>
    </row>
    <row r="12" spans="1:3" ht="14.25">
      <c r="A12" s="80" t="s">
        <v>97</v>
      </c>
      <c r="B12" s="6" t="s">
        <v>65</v>
      </c>
      <c r="C12" s="82">
        <f>Ремонт!D17</f>
        <v>15.707963267948966</v>
      </c>
    </row>
    <row r="13" spans="1:3" ht="14.25">
      <c r="A13" s="85" t="s">
        <v>38</v>
      </c>
      <c r="B13" s="6" t="s">
        <v>101</v>
      </c>
      <c r="C13" s="83">
        <f>Ремонт!D9</f>
        <v>50</v>
      </c>
    </row>
    <row r="14" spans="1:3" ht="12.75">
      <c r="A14" s="80" t="s">
        <v>46</v>
      </c>
      <c r="B14" s="6" t="s">
        <v>26</v>
      </c>
      <c r="C14" s="82">
        <f>Ремонт!D16</f>
        <v>8</v>
      </c>
    </row>
    <row r="15" spans="1:7" ht="15" thickBot="1">
      <c r="A15" s="87" t="s">
        <v>102</v>
      </c>
      <c r="B15" s="28" t="s">
        <v>57</v>
      </c>
      <c r="C15" s="88">
        <f>Ремонт!D8</f>
        <v>32</v>
      </c>
      <c r="E15" s="75"/>
      <c r="F15" s="76"/>
      <c r="G15" s="77"/>
    </row>
    <row r="16" ht="13.5" thickBot="1"/>
    <row r="17" spans="1:3" ht="15" thickBot="1">
      <c r="A17" s="588" t="s">
        <v>111</v>
      </c>
      <c r="B17" s="589"/>
      <c r="C17" s="590"/>
    </row>
    <row r="18" spans="1:3" ht="12.75">
      <c r="A18" s="78" t="s">
        <v>91</v>
      </c>
      <c r="B18" s="21" t="s">
        <v>25</v>
      </c>
      <c r="C18" s="79">
        <f>Ремонт!D14</f>
        <v>2.5</v>
      </c>
    </row>
    <row r="19" spans="1:3" ht="14.25">
      <c r="A19" s="80" t="s">
        <v>103</v>
      </c>
      <c r="B19" s="6" t="s">
        <v>57</v>
      </c>
      <c r="C19" s="81">
        <f>Ремонт!D8</f>
        <v>32</v>
      </c>
    </row>
    <row r="20" spans="1:3" ht="12.75">
      <c r="A20" s="80" t="s">
        <v>104</v>
      </c>
      <c r="B20" s="12" t="s">
        <v>77</v>
      </c>
      <c r="C20" s="82">
        <f>Ремонт!D25</f>
        <v>14.036243467926479</v>
      </c>
    </row>
    <row r="21" spans="1:3" ht="12.75">
      <c r="A21" s="80" t="s">
        <v>105</v>
      </c>
      <c r="B21" s="6" t="s">
        <v>23</v>
      </c>
      <c r="C21" s="83" t="str">
        <f>Ремонт!D4</f>
        <v>правое</v>
      </c>
    </row>
    <row r="22" spans="1:3" ht="12.75">
      <c r="A22" s="80" t="s">
        <v>106</v>
      </c>
      <c r="B22" s="6" t="s">
        <v>55</v>
      </c>
      <c r="C22" s="82">
        <f>Ремонт!D24</f>
        <v>0</v>
      </c>
    </row>
    <row r="23" spans="1:3" ht="12.75">
      <c r="A23" s="80" t="s">
        <v>107</v>
      </c>
      <c r="B23" s="6" t="s">
        <v>23</v>
      </c>
      <c r="C23" s="84" t="s">
        <v>98</v>
      </c>
    </row>
    <row r="24" spans="1:3" ht="13.5" thickBot="1">
      <c r="A24" s="92" t="s">
        <v>99</v>
      </c>
      <c r="B24" s="28" t="s">
        <v>23</v>
      </c>
      <c r="C24" s="93" t="s">
        <v>100</v>
      </c>
    </row>
    <row r="25" spans="1:3" ht="14.25">
      <c r="A25" s="89" t="s">
        <v>38</v>
      </c>
      <c r="B25" s="90" t="s">
        <v>101</v>
      </c>
      <c r="C25" s="91">
        <f>Ремонт!D9</f>
        <v>50</v>
      </c>
    </row>
    <row r="26" spans="1:3" ht="14.25">
      <c r="A26" s="80" t="s">
        <v>78</v>
      </c>
      <c r="B26" s="6" t="s">
        <v>79</v>
      </c>
      <c r="C26" s="82">
        <f>Ремонт!D28</f>
        <v>80</v>
      </c>
    </row>
    <row r="27" spans="1:3" ht="12.75">
      <c r="A27" s="80" t="s">
        <v>108</v>
      </c>
      <c r="B27" s="6" t="s">
        <v>23</v>
      </c>
      <c r="C27" s="86" t="s">
        <v>34</v>
      </c>
    </row>
    <row r="28" spans="1:3" ht="15" thickBot="1">
      <c r="A28" s="87" t="s">
        <v>109</v>
      </c>
      <c r="B28" s="28" t="s">
        <v>56</v>
      </c>
      <c r="C28" s="88">
        <f>Ремонт!D7</f>
        <v>2</v>
      </c>
    </row>
  </sheetData>
  <sheetProtection sheet="1" objects="1" scenarios="1"/>
  <mergeCells count="3">
    <mergeCell ref="A3:C3"/>
    <mergeCell ref="A17:C17"/>
    <mergeCell ref="A1:C1"/>
  </mergeCells>
  <printOptions/>
  <pageMargins left="0.7874015748031497" right="0.1968503937007874" top="0.7874015748031497" bottom="0.3937007874015748" header="0.1968503937007874" footer="0.1968503937007874"/>
  <pageSetup horizontalDpi="600" verticalDpi="600" orientation="landscape" paperSize="9" r:id="rId1"/>
  <headerFooter alignWithMargins="0">
    <oddFooter>&amp;C&amp;"Arial Cyr,полужирный"- 2 -&amp;R&amp;"Arial Cyr,полужирный"Воробьев А.В.     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Воробьев</cp:lastModifiedBy>
  <cp:lastPrinted>2005-05-16T15:44:33Z</cp:lastPrinted>
  <dcterms:created xsi:type="dcterms:W3CDTF">2005-04-17T07:47:35Z</dcterms:created>
  <dcterms:modified xsi:type="dcterms:W3CDTF">2014-10-05T12:03:48Z</dcterms:modified>
  <cp:category/>
  <cp:version/>
  <cp:contentType/>
  <cp:contentStatus/>
</cp:coreProperties>
</file>