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Воробьев</author>
  </authors>
  <commentList>
    <comment ref="D7" authorId="0">
      <text>
        <r>
          <rPr>
            <b/>
            <sz val="8"/>
            <rFont val="Tahoma"/>
            <family val="0"/>
          </rPr>
          <t>Стандартный ряд модулей:</t>
        </r>
        <r>
          <rPr>
            <sz val="8"/>
            <rFont val="Tahoma"/>
            <family val="0"/>
          </rPr>
          <t xml:space="preserve">
1,0; 1,25; 1,5; 2; 2,5; 3; 4; 5; 6; 8; 10 мм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Для прямозубой передачи </t>
        </r>
        <r>
          <rPr>
            <b/>
            <sz val="8"/>
            <rFont val="Arial"/>
            <family val="2"/>
          </rPr>
          <t>β</t>
        </r>
        <r>
          <rPr>
            <b/>
            <sz val="8"/>
            <rFont val="Tahoma"/>
            <family val="0"/>
          </rPr>
          <t>=0</t>
        </r>
        <r>
          <rPr>
            <b/>
            <sz val="8"/>
            <rFont val="Arial"/>
            <family val="2"/>
          </rPr>
          <t>°</t>
        </r>
        <r>
          <rPr>
            <b/>
            <sz val="8"/>
            <rFont val="Tahoma"/>
            <family val="0"/>
          </rPr>
          <t xml:space="preserve">
Для косозубой передачи </t>
        </r>
        <r>
          <rPr>
            <b/>
            <sz val="8"/>
            <rFont val="Arial"/>
            <family val="2"/>
          </rPr>
          <t>β</t>
        </r>
        <r>
          <rPr>
            <b/>
            <sz val="8"/>
            <rFont val="Tahoma"/>
            <family val="0"/>
          </rPr>
          <t>=8</t>
        </r>
        <r>
          <rPr>
            <b/>
            <sz val="8"/>
            <rFont val="Arial"/>
            <family val="2"/>
          </rPr>
          <t>°</t>
        </r>
        <r>
          <rPr>
            <b/>
            <sz val="8"/>
            <rFont val="Tahoma"/>
            <family val="0"/>
          </rPr>
          <t>…22</t>
        </r>
        <r>
          <rPr>
            <b/>
            <sz val="8"/>
            <rFont val="Arial"/>
            <family val="2"/>
          </rPr>
          <t>°</t>
        </r>
      </text>
    </comment>
    <comment ref="D3" authorId="0">
      <text>
        <r>
          <rPr>
            <b/>
            <sz val="8"/>
            <rFont val="Tahoma"/>
            <family val="2"/>
          </rPr>
          <t>ГОСТ 13755-81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ГОСТ 13755-81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ГОСТ 13755-81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ГОСТ 13755-81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<sst xmlns="http://schemas.openxmlformats.org/spreadsheetml/2006/main" count="113" uniqueCount="74">
  <si>
    <t>-</t>
  </si>
  <si>
    <t>мм</t>
  </si>
  <si>
    <t>m=</t>
  </si>
  <si>
    <t>шт</t>
  </si>
  <si>
    <t>Исходные данные:</t>
  </si>
  <si>
    <t xml:space="preserve">Модуль зацепления </t>
  </si>
  <si>
    <t>z=</t>
  </si>
  <si>
    <t>x=</t>
  </si>
  <si>
    <t>Результаты расчета:</t>
  </si>
  <si>
    <t>Угол профиля</t>
  </si>
  <si>
    <t>Угол наклона зубьев</t>
  </si>
  <si>
    <t>Число зубьев</t>
  </si>
  <si>
    <t>Делительный диаметр</t>
  </si>
  <si>
    <t>d=</t>
  </si>
  <si>
    <t>Диаметр основной окружности</t>
  </si>
  <si>
    <t>Коэффициент уравнительного смещения</t>
  </si>
  <si>
    <t>Диаметр впадин (справочно)</t>
  </si>
  <si>
    <t xml:space="preserve">Диаметр вершин зубьев </t>
  </si>
  <si>
    <r>
      <t>β</t>
    </r>
    <r>
      <rPr>
        <b/>
        <sz val="11"/>
        <color indexed="12"/>
        <rFont val="Arial Cyr"/>
        <family val="0"/>
      </rPr>
      <t>=</t>
    </r>
  </si>
  <si>
    <t>°</t>
  </si>
  <si>
    <t>Угол главного профиля</t>
  </si>
  <si>
    <t>α=</t>
  </si>
  <si>
    <t>C=</t>
  </si>
  <si>
    <r>
      <t>Δ</t>
    </r>
    <r>
      <rPr>
        <b/>
        <sz val="11"/>
        <color indexed="12"/>
        <rFont val="Arial Cyr"/>
        <family val="0"/>
      </rPr>
      <t>y=</t>
    </r>
  </si>
  <si>
    <r>
      <t>d</t>
    </r>
    <r>
      <rPr>
        <b/>
        <vertAlign val="subscript"/>
        <sz val="11"/>
        <color indexed="10"/>
        <rFont val="Arial Cyr"/>
        <family val="0"/>
      </rPr>
      <t>a</t>
    </r>
    <r>
      <rPr>
        <b/>
        <sz val="11"/>
        <color indexed="10"/>
        <rFont val="Arial Cyr"/>
        <family val="0"/>
      </rPr>
      <t>=</t>
    </r>
  </si>
  <si>
    <r>
      <t>d</t>
    </r>
    <r>
      <rPr>
        <b/>
        <vertAlign val="subscript"/>
        <sz val="11"/>
        <color indexed="10"/>
        <rFont val="Arial Cyr"/>
        <family val="0"/>
      </rPr>
      <t>b</t>
    </r>
    <r>
      <rPr>
        <b/>
        <sz val="11"/>
        <color indexed="10"/>
        <rFont val="Arial Cyr"/>
        <family val="0"/>
      </rPr>
      <t>=</t>
    </r>
  </si>
  <si>
    <r>
      <t>d</t>
    </r>
    <r>
      <rPr>
        <b/>
        <vertAlign val="subscript"/>
        <sz val="11"/>
        <color indexed="10"/>
        <rFont val="Arial Cyr"/>
        <family val="0"/>
      </rPr>
      <t>f</t>
    </r>
    <r>
      <rPr>
        <b/>
        <sz val="11"/>
        <color indexed="10"/>
        <rFont val="Arial Cyr"/>
        <family val="0"/>
      </rPr>
      <t>=</t>
    </r>
  </si>
  <si>
    <t>Коэффициент высоты головки</t>
  </si>
  <si>
    <r>
      <t>h</t>
    </r>
    <r>
      <rPr>
        <b/>
        <vertAlign val="subscript"/>
        <sz val="11"/>
        <color indexed="12"/>
        <rFont val="Arial Cyr"/>
        <family val="0"/>
      </rPr>
      <t>a</t>
    </r>
    <r>
      <rPr>
        <b/>
        <sz val="11"/>
        <color indexed="12"/>
        <rFont val="Arial Cyr"/>
        <family val="0"/>
      </rPr>
      <t>*=</t>
    </r>
  </si>
  <si>
    <t>c*=</t>
  </si>
  <si>
    <t>Коэффициент радиального зазора</t>
  </si>
  <si>
    <r>
      <t>α</t>
    </r>
    <r>
      <rPr>
        <b/>
        <vertAlign val="subscript"/>
        <sz val="11"/>
        <rFont val="Arial Cyr"/>
        <family val="0"/>
      </rPr>
      <t>t</t>
    </r>
    <r>
      <rPr>
        <b/>
        <sz val="11"/>
        <rFont val="Arial Cyr"/>
        <family val="0"/>
      </rPr>
      <t>=</t>
    </r>
  </si>
  <si>
    <r>
      <t>ρ</t>
    </r>
    <r>
      <rPr>
        <b/>
        <vertAlign val="subscript"/>
        <sz val="11"/>
        <color indexed="12"/>
        <rFont val="Arial Cyr"/>
        <family val="0"/>
      </rPr>
      <t>f</t>
    </r>
    <r>
      <rPr>
        <b/>
        <sz val="11"/>
        <color indexed="12"/>
        <rFont val="Arial Cyr"/>
        <family val="0"/>
      </rPr>
      <t>*=</t>
    </r>
  </si>
  <si>
    <t>К-т радиуса кривизны переходной кривой</t>
  </si>
  <si>
    <t>К-т смещения исходного контура</t>
  </si>
  <si>
    <t>i</t>
  </si>
  <si>
    <t>Количество точек (точность построения)</t>
  </si>
  <si>
    <t>n=</t>
  </si>
  <si>
    <r>
      <t>Y</t>
    </r>
    <r>
      <rPr>
        <b/>
        <vertAlign val="subscript"/>
        <sz val="11"/>
        <color indexed="10"/>
        <rFont val="Arial Cyr"/>
        <family val="0"/>
      </rPr>
      <t>эi</t>
    </r>
  </si>
  <si>
    <r>
      <t>X</t>
    </r>
    <r>
      <rPr>
        <b/>
        <vertAlign val="subscript"/>
        <sz val="11"/>
        <color indexed="10"/>
        <rFont val="Arial Cyr"/>
        <family val="0"/>
      </rPr>
      <t>эi</t>
    </r>
  </si>
  <si>
    <t>Обозна-
чения</t>
  </si>
  <si>
    <t>Значения</t>
  </si>
  <si>
    <t>Ед.
изм.</t>
  </si>
  <si>
    <t>Расчет координат точек профиля зуба
цилиндрического зубчатого колеса
в торцевом сечении</t>
  </si>
  <si>
    <r>
      <t>γ</t>
    </r>
    <r>
      <rPr>
        <b/>
        <vertAlign val="subscript"/>
        <sz val="11"/>
        <rFont val="Arial"/>
        <family val="2"/>
      </rPr>
      <t>i</t>
    </r>
  </si>
  <si>
    <t>рад</t>
  </si>
  <si>
    <r>
      <t>Y</t>
    </r>
    <r>
      <rPr>
        <b/>
        <vertAlign val="subscript"/>
        <sz val="11"/>
        <color indexed="10"/>
        <rFont val="Arial Cyr"/>
        <family val="0"/>
      </rPr>
      <t>пкi</t>
    </r>
  </si>
  <si>
    <r>
      <t>X</t>
    </r>
    <r>
      <rPr>
        <b/>
        <vertAlign val="subscript"/>
        <sz val="11"/>
        <color indexed="10"/>
        <rFont val="Arial Cyr"/>
        <family val="0"/>
      </rPr>
      <t>пкi</t>
    </r>
  </si>
  <si>
    <r>
      <t>-X</t>
    </r>
    <r>
      <rPr>
        <b/>
        <vertAlign val="subscript"/>
        <sz val="11"/>
        <color indexed="10"/>
        <rFont val="Arial Cyr"/>
        <family val="0"/>
      </rPr>
      <t>пкi</t>
    </r>
  </si>
  <si>
    <r>
      <t>-X</t>
    </r>
    <r>
      <rPr>
        <b/>
        <vertAlign val="subscript"/>
        <sz val="11"/>
        <color indexed="10"/>
        <rFont val="Arial Cyr"/>
        <family val="0"/>
      </rPr>
      <t>эi</t>
    </r>
  </si>
  <si>
    <r>
      <t>d</t>
    </r>
    <r>
      <rPr>
        <b/>
        <vertAlign val="subscript"/>
        <sz val="11"/>
        <rFont val="Arial Cyr"/>
        <family val="0"/>
      </rPr>
      <t>yi</t>
    </r>
  </si>
  <si>
    <r>
      <t>D</t>
    </r>
    <r>
      <rPr>
        <b/>
        <vertAlign val="subscript"/>
        <sz val="11"/>
        <rFont val="Arial Cyr"/>
        <family val="0"/>
      </rPr>
      <t>i</t>
    </r>
  </si>
  <si>
    <r>
      <t>A</t>
    </r>
    <r>
      <rPr>
        <b/>
        <vertAlign val="subscript"/>
        <sz val="11"/>
        <rFont val="Arial Cyr"/>
        <family val="0"/>
      </rPr>
      <t>i</t>
    </r>
  </si>
  <si>
    <r>
      <t>B</t>
    </r>
    <r>
      <rPr>
        <b/>
        <vertAlign val="subscript"/>
        <sz val="11"/>
        <rFont val="Arial Cyr"/>
        <family val="0"/>
      </rPr>
      <t>i</t>
    </r>
  </si>
  <si>
    <r>
      <t>φ</t>
    </r>
    <r>
      <rPr>
        <b/>
        <vertAlign val="subscript"/>
        <sz val="11"/>
        <rFont val="Arial Cyr"/>
        <family val="0"/>
      </rPr>
      <t>i</t>
    </r>
  </si>
  <si>
    <r>
      <t>X</t>
    </r>
    <r>
      <rPr>
        <b/>
        <vertAlign val="subscript"/>
        <sz val="11"/>
        <color indexed="10"/>
        <rFont val="Arial Cyr"/>
        <family val="0"/>
      </rPr>
      <t>dai</t>
    </r>
  </si>
  <si>
    <r>
      <t>Y</t>
    </r>
    <r>
      <rPr>
        <b/>
        <vertAlign val="subscript"/>
        <sz val="11"/>
        <color indexed="10"/>
        <rFont val="Arial Cyr"/>
        <family val="0"/>
      </rPr>
      <t>dai</t>
    </r>
  </si>
  <si>
    <t>Переходная
кривая</t>
  </si>
  <si>
    <t>Эвольвента</t>
  </si>
  <si>
    <t>Наружный
диаметр</t>
  </si>
  <si>
    <r>
      <t>Координаты точек профиля зуба</t>
    </r>
    <r>
      <rPr>
        <b/>
        <sz val="14"/>
        <rFont val="Arial"/>
        <family val="2"/>
      </rPr>
      <t xml:space="preserve">
</t>
    </r>
  </si>
  <si>
    <t>№п/п</t>
  </si>
  <si>
    <t>Промежуточные данные</t>
  </si>
  <si>
    <t>Расчетный шаг точек эвольвенты</t>
  </si>
  <si>
    <t>Расчетный шаг точек переходной кривой</t>
  </si>
  <si>
    <t xml:space="preserve">Расчетный шаг точек наружного диаметра </t>
  </si>
  <si>
    <r>
      <t>h</t>
    </r>
    <r>
      <rPr>
        <b/>
        <vertAlign val="subscript"/>
        <sz val="11"/>
        <rFont val="Arial Cyr"/>
        <family val="0"/>
      </rPr>
      <t>dy</t>
    </r>
    <r>
      <rPr>
        <b/>
        <sz val="11"/>
        <rFont val="Arial Cyr"/>
        <family val="0"/>
      </rPr>
      <t>=</t>
    </r>
  </si>
  <si>
    <r>
      <t>h</t>
    </r>
    <r>
      <rPr>
        <b/>
        <vertAlign val="subscript"/>
        <sz val="11"/>
        <rFont val="Arial"/>
        <family val="2"/>
      </rPr>
      <t>γ</t>
    </r>
    <r>
      <rPr>
        <b/>
        <sz val="11"/>
        <rFont val="Arial Cyr"/>
        <family val="0"/>
      </rPr>
      <t>=</t>
    </r>
  </si>
  <si>
    <r>
      <t>y</t>
    </r>
    <r>
      <rPr>
        <b/>
        <vertAlign val="subscript"/>
        <sz val="11"/>
        <rFont val="Arial Cyr"/>
        <family val="0"/>
      </rPr>
      <t>0</t>
    </r>
    <r>
      <rPr>
        <b/>
        <sz val="11"/>
        <rFont val="Arial Cyr"/>
        <family val="0"/>
      </rPr>
      <t>=</t>
    </r>
  </si>
  <si>
    <r>
      <t>x</t>
    </r>
    <r>
      <rPr>
        <b/>
        <vertAlign val="subscript"/>
        <sz val="11"/>
        <rFont val="Arial Cyr"/>
        <family val="0"/>
      </rPr>
      <t>0</t>
    </r>
    <r>
      <rPr>
        <b/>
        <sz val="11"/>
        <rFont val="Arial Cyr"/>
        <family val="0"/>
      </rPr>
      <t>=</t>
    </r>
  </si>
  <si>
    <r>
      <t>h</t>
    </r>
    <r>
      <rPr>
        <b/>
        <vertAlign val="subscript"/>
        <sz val="11"/>
        <rFont val="Arial Cyr"/>
        <family val="0"/>
      </rPr>
      <t>da</t>
    </r>
    <r>
      <rPr>
        <b/>
        <sz val="11"/>
        <rFont val="Arial Cyr"/>
        <family val="0"/>
      </rPr>
      <t>=</t>
    </r>
  </si>
  <si>
    <t>Вспомогательные величины:</t>
  </si>
  <si>
    <t>D=</t>
  </si>
  <si>
    <t>Диаметр начала выкружки зуба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</si>
</sst>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dd/mm/yyyy"/>
    <numFmt numFmtId="184" formatCode="0.00000"/>
    <numFmt numFmtId="185" formatCode="0.000000"/>
    <numFmt numFmtId="186" formatCode="0.000%"/>
  </numFmts>
  <fonts count="27">
    <font>
      <sz val="10"/>
      <name val="Arial"/>
      <family val="0"/>
    </font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u val="single"/>
      <sz val="14"/>
      <color indexed="20"/>
      <name val="Arial Cyr"/>
      <family val="2"/>
    </font>
    <font>
      <b/>
      <sz val="14"/>
      <name val="Arial Black"/>
      <family val="2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b/>
      <sz val="11"/>
      <color indexed="12"/>
      <name val="Arial"/>
      <family val="2"/>
    </font>
    <font>
      <b/>
      <sz val="11"/>
      <color indexed="14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1"/>
      <color indexed="10"/>
      <name val="Arial Cyr"/>
      <family val="0"/>
    </font>
    <font>
      <b/>
      <vertAlign val="subscript"/>
      <sz val="11"/>
      <color indexed="12"/>
      <name val="Arial Cyr"/>
      <family val="0"/>
    </font>
    <font>
      <b/>
      <sz val="8"/>
      <name val="Arial"/>
      <family val="2"/>
    </font>
    <font>
      <b/>
      <vertAlign val="subscript"/>
      <sz val="11"/>
      <name val="Arial Cyr"/>
      <family val="0"/>
    </font>
    <font>
      <b/>
      <sz val="11"/>
      <name val="Arial"/>
      <family val="2"/>
    </font>
    <font>
      <b/>
      <sz val="8"/>
      <color indexed="14"/>
      <name val="Arial Black"/>
      <family val="2"/>
    </font>
    <font>
      <b/>
      <vertAlign val="subscript"/>
      <sz val="11"/>
      <name val="Arial"/>
      <family val="2"/>
    </font>
    <font>
      <b/>
      <u val="single"/>
      <sz val="13.75"/>
      <color indexed="20"/>
      <name val="Arial Cyr"/>
      <family val="0"/>
    </font>
    <font>
      <b/>
      <sz val="8.5"/>
      <color indexed="10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b/>
      <sz val="14"/>
      <name val="Arial"/>
      <family val="2"/>
    </font>
    <font>
      <b/>
      <sz val="14"/>
      <color indexed="2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4" xfId="17" applyFont="1" applyBorder="1" applyAlignment="1" applyProtection="1">
      <alignment horizontal="center"/>
      <protection/>
    </xf>
    <xf numFmtId="0" fontId="4" fillId="0" borderId="5" xfId="17" applyFont="1" applyBorder="1" applyProtection="1">
      <alignment/>
      <protection/>
    </xf>
    <xf numFmtId="0" fontId="4" fillId="0" borderId="5" xfId="17" applyFont="1" applyBorder="1" applyAlignment="1" applyProtection="1">
      <alignment horizontal="center"/>
      <protection/>
    </xf>
    <xf numFmtId="0" fontId="4" fillId="0" borderId="6" xfId="17" applyFont="1" applyBorder="1" applyAlignment="1" applyProtection="1">
      <alignment horizontal="center"/>
      <protection/>
    </xf>
    <xf numFmtId="0" fontId="7" fillId="0" borderId="7" xfId="17" applyFont="1" applyBorder="1" applyProtection="1">
      <alignment/>
      <protection/>
    </xf>
    <xf numFmtId="0" fontId="7" fillId="0" borderId="1" xfId="17" applyFont="1" applyBorder="1" applyProtection="1">
      <alignment/>
      <protection/>
    </xf>
    <xf numFmtId="0" fontId="7" fillId="0" borderId="7" xfId="17" applyFont="1" applyBorder="1" applyAlignment="1" applyProtection="1">
      <alignment horizontal="center"/>
      <protection/>
    </xf>
    <xf numFmtId="0" fontId="7" fillId="0" borderId="4" xfId="17" applyFont="1" applyBorder="1" applyAlignment="1" applyProtection="1">
      <alignment horizontal="center"/>
      <protection/>
    </xf>
    <xf numFmtId="0" fontId="7" fillId="0" borderId="1" xfId="17" applyFont="1" applyBorder="1" applyAlignment="1" applyProtection="1">
      <alignment horizontal="center"/>
      <protection/>
    </xf>
    <xf numFmtId="0" fontId="7" fillId="0" borderId="8" xfId="17" applyFont="1" applyBorder="1" applyAlignment="1" applyProtection="1">
      <alignment horizontal="center"/>
      <protection/>
    </xf>
    <xf numFmtId="180" fontId="7" fillId="2" borderId="7" xfId="17" applyNumberFormat="1" applyFont="1" applyFill="1" applyBorder="1" applyAlignment="1" applyProtection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5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center"/>
      <protection/>
    </xf>
    <xf numFmtId="0" fontId="8" fillId="0" borderId="8" xfId="17" applyFont="1" applyBorder="1" applyAlignment="1">
      <alignment horizontal="center"/>
      <protection/>
    </xf>
    <xf numFmtId="0" fontId="9" fillId="0" borderId="8" xfId="17" applyFont="1" applyBorder="1" applyAlignment="1">
      <alignment horizontal="center"/>
      <protection/>
    </xf>
    <xf numFmtId="0" fontId="9" fillId="0" borderId="5" xfId="17" applyFont="1" applyBorder="1" applyAlignment="1">
      <alignment horizontal="center"/>
      <protection/>
    </xf>
    <xf numFmtId="0" fontId="8" fillId="0" borderId="1" xfId="17" applyFont="1" applyBorder="1" applyProtection="1">
      <alignment/>
      <protection/>
    </xf>
    <xf numFmtId="0" fontId="8" fillId="0" borderId="1" xfId="17" applyFont="1" applyBorder="1" applyAlignment="1" applyProtection="1">
      <alignment horizontal="center"/>
      <protection/>
    </xf>
    <xf numFmtId="180" fontId="7" fillId="2" borderId="1" xfId="17" applyNumberFormat="1" applyFont="1" applyFill="1" applyBorder="1" applyAlignment="1" applyProtection="1">
      <alignment horizontal="center"/>
      <protection/>
    </xf>
    <xf numFmtId="0" fontId="7" fillId="0" borderId="6" xfId="17" applyFont="1" applyBorder="1" applyAlignment="1" applyProtection="1">
      <alignment horizontal="center"/>
      <protection/>
    </xf>
    <xf numFmtId="0" fontId="7" fillId="0" borderId="9" xfId="17" applyFont="1" applyBorder="1" applyAlignment="1" applyProtection="1">
      <alignment horizontal="center"/>
      <protection/>
    </xf>
    <xf numFmtId="2" fontId="8" fillId="3" borderId="1" xfId="17" applyNumberFormat="1" applyFont="1" applyFill="1" applyBorder="1" applyAlignment="1" applyProtection="1">
      <alignment horizontal="center"/>
      <protection locked="0"/>
    </xf>
    <xf numFmtId="1" fontId="8" fillId="3" borderId="1" xfId="17" applyNumberFormat="1" applyFont="1" applyFill="1" applyBorder="1" applyAlignment="1" applyProtection="1">
      <alignment horizontal="center"/>
      <protection locked="0"/>
    </xf>
    <xf numFmtId="0" fontId="9" fillId="0" borderId="1" xfId="17" applyFont="1" applyBorder="1" applyAlignment="1">
      <alignment horizontal="center"/>
      <protection/>
    </xf>
    <xf numFmtId="180" fontId="8" fillId="3" borderId="1" xfId="17" applyNumberFormat="1" applyFont="1" applyFill="1" applyBorder="1" applyAlignment="1" applyProtection="1">
      <alignment horizontal="center"/>
      <protection locked="0"/>
    </xf>
    <xf numFmtId="2" fontId="8" fillId="4" borderId="1" xfId="17" applyNumberFormat="1" applyFont="1" applyFill="1" applyBorder="1" applyAlignment="1" applyProtection="1">
      <alignment horizontal="center"/>
      <protection locked="0"/>
    </xf>
    <xf numFmtId="185" fontId="8" fillId="3" borderId="1" xfId="17" applyNumberFormat="1" applyFont="1" applyFill="1" applyBorder="1" applyAlignment="1" applyProtection="1">
      <alignment horizontal="center"/>
      <protection locked="0"/>
    </xf>
    <xf numFmtId="0" fontId="18" fillId="0" borderId="10" xfId="17" applyFont="1" applyBorder="1" applyAlignment="1" applyProtection="1">
      <alignment horizontal="center" vertical="center" wrapText="1"/>
      <protection/>
    </xf>
    <xf numFmtId="0" fontId="18" fillId="0" borderId="11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>
      <alignment horizontal="left"/>
      <protection/>
    </xf>
    <xf numFmtId="1" fontId="8" fillId="4" borderId="5" xfId="17" applyNumberFormat="1" applyFont="1" applyFill="1" applyBorder="1" applyAlignment="1" applyProtection="1">
      <alignment horizontal="center"/>
      <protection locked="0"/>
    </xf>
    <xf numFmtId="0" fontId="9" fillId="0" borderId="2" xfId="17" applyFont="1" applyBorder="1" applyAlignment="1">
      <alignment horizontal="center"/>
      <protection/>
    </xf>
    <xf numFmtId="182" fontId="4" fillId="2" borderId="5" xfId="17" applyNumberFormat="1" applyFont="1" applyFill="1" applyBorder="1" applyAlignment="1" applyProtection="1">
      <alignment horizontal="center"/>
      <protection/>
    </xf>
    <xf numFmtId="0" fontId="4" fillId="0" borderId="1" xfId="17" applyFont="1" applyFill="1" applyBorder="1" applyAlignment="1" applyProtection="1">
      <alignment horizontal="center"/>
      <protection/>
    </xf>
    <xf numFmtId="0" fontId="7" fillId="0" borderId="12" xfId="17" applyFont="1" applyFill="1" applyBorder="1" applyAlignment="1" applyProtection="1">
      <alignment horizontal="center"/>
      <protection/>
    </xf>
    <xf numFmtId="0" fontId="7" fillId="0" borderId="2" xfId="17" applyFont="1" applyFill="1" applyBorder="1" applyAlignment="1" applyProtection="1">
      <alignment horizontal="center"/>
      <protection/>
    </xf>
    <xf numFmtId="0" fontId="7" fillId="0" borderId="5" xfId="17" applyFont="1" applyFill="1" applyBorder="1" applyAlignment="1" applyProtection="1">
      <alignment horizontal="center"/>
      <protection/>
    </xf>
    <xf numFmtId="49" fontId="7" fillId="0" borderId="2" xfId="17" applyNumberFormat="1" applyFont="1" applyFill="1" applyBorder="1" applyAlignment="1" applyProtection="1">
      <alignment horizontal="center"/>
      <protection/>
    </xf>
    <xf numFmtId="185" fontId="4" fillId="2" borderId="1" xfId="17" applyNumberFormat="1" applyFont="1" applyFill="1" applyBorder="1" applyAlignment="1">
      <alignment horizontal="center"/>
      <protection/>
    </xf>
    <xf numFmtId="0" fontId="4" fillId="0" borderId="12" xfId="17" applyFont="1" applyBorder="1" applyAlignment="1" applyProtection="1">
      <alignment horizontal="center"/>
      <protection/>
    </xf>
    <xf numFmtId="0" fontId="4" fillId="0" borderId="2" xfId="17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5" xfId="17" applyFont="1" applyFill="1" applyBorder="1" applyAlignment="1" applyProtection="1">
      <alignment horizontal="center"/>
      <protection/>
    </xf>
    <xf numFmtId="0" fontId="17" fillId="0" borderId="2" xfId="17" applyFont="1" applyFill="1" applyBorder="1" applyAlignment="1" applyProtection="1">
      <alignment horizontal="center"/>
      <protection/>
    </xf>
    <xf numFmtId="0" fontId="15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/>
    </xf>
    <xf numFmtId="0" fontId="4" fillId="0" borderId="16" xfId="17" applyFont="1" applyBorder="1" applyAlignment="1" applyProtection="1">
      <alignment horizontal="center"/>
      <protection/>
    </xf>
    <xf numFmtId="0" fontId="4" fillId="0" borderId="16" xfId="17" applyFont="1" applyFill="1" applyBorder="1" applyAlignment="1" applyProtection="1">
      <alignment horizontal="center"/>
      <protection/>
    </xf>
    <xf numFmtId="0" fontId="7" fillId="0" borderId="16" xfId="17" applyFont="1" applyBorder="1" applyAlignment="1" applyProtection="1">
      <alignment horizontal="center"/>
      <protection/>
    </xf>
    <xf numFmtId="0" fontId="17" fillId="0" borderId="6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8" fillId="0" borderId="12" xfId="17" applyFont="1" applyFill="1" applyBorder="1" applyAlignment="1">
      <alignment horizontal="center"/>
      <protection/>
    </xf>
    <xf numFmtId="0" fontId="8" fillId="0" borderId="3" xfId="17" applyFont="1" applyFill="1" applyBorder="1" applyAlignment="1">
      <alignment horizontal="center"/>
      <protection/>
    </xf>
    <xf numFmtId="0" fontId="4" fillId="0" borderId="1" xfId="17" applyFont="1" applyFill="1" applyBorder="1" applyProtection="1">
      <alignment/>
      <protection/>
    </xf>
    <xf numFmtId="0" fontId="18" fillId="0" borderId="17" xfId="17" applyFont="1" applyBorder="1" applyAlignment="1" applyProtection="1">
      <alignment horizontal="center" vertical="center" wrapText="1"/>
      <protection/>
    </xf>
    <xf numFmtId="0" fontId="18" fillId="0" borderId="18" xfId="17" applyFont="1" applyBorder="1" applyAlignment="1" applyProtection="1">
      <alignment horizontal="center" vertical="center" wrapText="1"/>
      <protection/>
    </xf>
    <xf numFmtId="0" fontId="4" fillId="0" borderId="12" xfId="17" applyFont="1" applyFill="1" applyBorder="1" applyAlignment="1">
      <alignment horizontal="center"/>
      <protection/>
    </xf>
    <xf numFmtId="0" fontId="4" fillId="0" borderId="8" xfId="17" applyFont="1" applyBorder="1" applyAlignment="1">
      <alignment horizontal="left"/>
      <protection/>
    </xf>
    <xf numFmtId="0" fontId="17" fillId="0" borderId="8" xfId="0" applyFont="1" applyBorder="1" applyAlignment="1">
      <alignment horizontal="center"/>
    </xf>
    <xf numFmtId="0" fontId="4" fillId="0" borderId="7" xfId="17" applyFont="1" applyFill="1" applyBorder="1" applyProtection="1">
      <alignment/>
      <protection/>
    </xf>
    <xf numFmtId="0" fontId="4" fillId="0" borderId="7" xfId="17" applyFont="1" applyFill="1" applyBorder="1" applyAlignment="1" applyProtection="1">
      <alignment horizontal="center"/>
      <protection/>
    </xf>
    <xf numFmtId="0" fontId="7" fillId="0" borderId="3" xfId="17" applyFont="1" applyFill="1" applyBorder="1" applyAlignment="1">
      <alignment horizontal="center"/>
      <protection/>
    </xf>
    <xf numFmtId="0" fontId="7" fillId="0" borderId="19" xfId="17" applyFont="1" applyFill="1" applyBorder="1" applyAlignment="1">
      <alignment horizontal="center"/>
      <protection/>
    </xf>
    <xf numFmtId="0" fontId="17" fillId="0" borderId="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4" fillId="0" borderId="9" xfId="17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4" fillId="0" borderId="5" xfId="17" applyFont="1" applyFill="1" applyBorder="1" applyProtection="1">
      <alignment/>
      <protection/>
    </xf>
    <xf numFmtId="180" fontId="17" fillId="2" borderId="9" xfId="0" applyNumberFormat="1" applyFont="1" applyFill="1" applyBorder="1" applyAlignment="1">
      <alignment horizontal="center"/>
    </xf>
    <xf numFmtId="180" fontId="17" fillId="2" borderId="5" xfId="0" applyNumberFormat="1" applyFont="1" applyFill="1" applyBorder="1" applyAlignment="1">
      <alignment horizontal="center"/>
    </xf>
    <xf numFmtId="180" fontId="17" fillId="2" borderId="1" xfId="0" applyNumberFormat="1" applyFont="1" applyFill="1" applyBorder="1" applyAlignment="1">
      <alignment horizontal="center"/>
    </xf>
    <xf numFmtId="180" fontId="17" fillId="2" borderId="7" xfId="0" applyNumberFormat="1" applyFont="1" applyFill="1" applyBorder="1" applyAlignment="1">
      <alignment horizontal="center"/>
    </xf>
    <xf numFmtId="180" fontId="11" fillId="2" borderId="19" xfId="0" applyNumberFormat="1" applyFont="1" applyFill="1" applyBorder="1" applyAlignment="1">
      <alignment/>
    </xf>
    <xf numFmtId="0" fontId="25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" fontId="8" fillId="5" borderId="5" xfId="17" applyNumberFormat="1" applyFont="1" applyFill="1" applyBorder="1" applyAlignment="1" applyProtection="1">
      <alignment horizontal="center"/>
      <protection/>
    </xf>
    <xf numFmtId="180" fontId="11" fillId="6" borderId="12" xfId="0" applyNumberFormat="1" applyFont="1" applyFill="1" applyBorder="1" applyAlignment="1">
      <alignment/>
    </xf>
    <xf numFmtId="180" fontId="11" fillId="2" borderId="3" xfId="0" applyNumberFormat="1" applyFont="1" applyFill="1" applyBorder="1" applyAlignment="1">
      <alignment/>
    </xf>
    <xf numFmtId="180" fontId="11" fillId="6" borderId="19" xfId="0" applyNumberFormat="1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80" fontId="11" fillId="2" borderId="2" xfId="0" applyNumberFormat="1" applyFont="1" applyFill="1" applyBorder="1" applyAlignment="1">
      <alignment/>
    </xf>
    <xf numFmtId="180" fontId="11" fillId="2" borderId="8" xfId="0" applyNumberFormat="1" applyFont="1" applyFill="1" applyBorder="1" applyAlignment="1">
      <alignment/>
    </xf>
    <xf numFmtId="180" fontId="11" fillId="2" borderId="4" xfId="0" applyNumberFormat="1" applyFont="1" applyFill="1" applyBorder="1" applyAlignment="1">
      <alignment/>
    </xf>
    <xf numFmtId="180" fontId="11" fillId="2" borderId="5" xfId="0" applyNumberFormat="1" applyFont="1" applyFill="1" applyBorder="1" applyAlignment="1">
      <alignment/>
    </xf>
    <xf numFmtId="180" fontId="11" fillId="2" borderId="1" xfId="0" applyNumberFormat="1" applyFont="1" applyFill="1" applyBorder="1" applyAlignment="1">
      <alignment/>
    </xf>
    <xf numFmtId="180" fontId="11" fillId="2" borderId="7" xfId="0" applyNumberFormat="1" applyFont="1" applyFill="1" applyBorder="1" applyAlignment="1">
      <alignment/>
    </xf>
    <xf numFmtId="180" fontId="26" fillId="2" borderId="12" xfId="0" applyNumberFormat="1" applyFont="1" applyFill="1" applyBorder="1" applyAlignment="1">
      <alignment/>
    </xf>
    <xf numFmtId="180" fontId="26" fillId="2" borderId="3" xfId="0" applyNumberFormat="1" applyFont="1" applyFill="1" applyBorder="1" applyAlignment="1">
      <alignment/>
    </xf>
    <xf numFmtId="180" fontId="26" fillId="2" borderId="19" xfId="0" applyNumberFormat="1" applyFont="1" applyFill="1" applyBorder="1" applyAlignment="1">
      <alignment/>
    </xf>
    <xf numFmtId="180" fontId="26" fillId="2" borderId="5" xfId="0" applyNumberFormat="1" applyFont="1" applyFill="1" applyBorder="1" applyAlignment="1">
      <alignment/>
    </xf>
    <xf numFmtId="180" fontId="26" fillId="2" borderId="1" xfId="0" applyNumberFormat="1" applyFont="1" applyFill="1" applyBorder="1" applyAlignment="1">
      <alignment/>
    </xf>
    <xf numFmtId="180" fontId="26" fillId="2" borderId="7" xfId="0" applyNumberFormat="1" applyFont="1" applyFill="1" applyBorder="1" applyAlignment="1">
      <alignment/>
    </xf>
    <xf numFmtId="180" fontId="26" fillId="2" borderId="2" xfId="0" applyNumberFormat="1" applyFont="1" applyFill="1" applyBorder="1" applyAlignment="1">
      <alignment/>
    </xf>
    <xf numFmtId="180" fontId="26" fillId="2" borderId="8" xfId="0" applyNumberFormat="1" applyFont="1" applyFill="1" applyBorder="1" applyAlignment="1">
      <alignment/>
    </xf>
    <xf numFmtId="180" fontId="26" fillId="2" borderId="4" xfId="0" applyNumberFormat="1" applyFont="1" applyFill="1" applyBorder="1" applyAlignment="1">
      <alignment/>
    </xf>
    <xf numFmtId="180" fontId="26" fillId="6" borderId="26" xfId="0" applyNumberFormat="1" applyFont="1" applyFill="1" applyBorder="1" applyAlignment="1">
      <alignment/>
    </xf>
    <xf numFmtId="180" fontId="26" fillId="2" borderId="27" xfId="0" applyNumberFormat="1" applyFont="1" applyFill="1" applyBorder="1" applyAlignment="1">
      <alignment/>
    </xf>
    <xf numFmtId="180" fontId="26" fillId="2" borderId="28" xfId="0" applyNumberFormat="1" applyFont="1" applyFill="1" applyBorder="1" applyAlignment="1">
      <alignment/>
    </xf>
    <xf numFmtId="0" fontId="10" fillId="0" borderId="29" xfId="17" applyFont="1" applyBorder="1" applyAlignment="1">
      <alignment horizontal="left"/>
      <protection/>
    </xf>
    <xf numFmtId="0" fontId="10" fillId="0" borderId="10" xfId="17" applyFont="1" applyBorder="1" applyAlignment="1">
      <alignment horizontal="left"/>
      <protection/>
    </xf>
    <xf numFmtId="0" fontId="5" fillId="0" borderId="0" xfId="17" applyFont="1" applyBorder="1" applyAlignment="1" applyProtection="1">
      <alignment horizontal="center" wrapText="1"/>
      <protection/>
    </xf>
    <xf numFmtId="0" fontId="6" fillId="0" borderId="0" xfId="17" applyFont="1" applyBorder="1" applyAlignment="1" applyProtection="1">
      <alignment horizontal="center"/>
      <protection/>
    </xf>
    <xf numFmtId="0" fontId="4" fillId="0" borderId="17" xfId="17" applyFont="1" applyFill="1" applyBorder="1" applyAlignment="1" applyProtection="1">
      <alignment horizontal="left" vertical="center"/>
      <protection/>
    </xf>
    <xf numFmtId="0" fontId="4" fillId="0" borderId="30" xfId="17" applyFont="1" applyFill="1" applyBorder="1" applyAlignment="1" applyProtection="1">
      <alignment horizontal="left" vertical="center"/>
      <protection/>
    </xf>
    <xf numFmtId="0" fontId="4" fillId="0" borderId="31" xfId="17" applyFont="1" applyFill="1" applyBorder="1" applyAlignment="1" applyProtection="1">
      <alignment horizontal="left" vertical="center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10" fillId="0" borderId="32" xfId="17" applyFont="1" applyBorder="1" applyAlignment="1">
      <alignment horizontal="left"/>
      <protection/>
    </xf>
    <xf numFmtId="0" fontId="10" fillId="0" borderId="17" xfId="17" applyFont="1" applyBorder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800080"/>
                </a:solidFill>
              </a:rPr>
              <a:t>Профиль зуба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275"/>
          <c:w val="0.90325"/>
          <c:h val="0.88375"/>
        </c:manualLayout>
      </c:layout>
      <c:scatterChart>
        <c:scatterStyle val="smoothMarker"/>
        <c:varyColors val="0"/>
        <c:ser>
          <c:idx val="0"/>
          <c:order val="0"/>
          <c:tx>
            <c:v>Эвольвента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1!$Q$5:$Q$104</c:f>
              <c:numCache/>
            </c:numRef>
          </c:xVal>
          <c:yVal>
            <c:numRef>
              <c:f>1!$P$5:$P$104</c:f>
              <c:numCache/>
            </c:numRef>
          </c:yVal>
          <c:smooth val="1"/>
        </c:ser>
        <c:ser>
          <c:idx val="1"/>
          <c:order val="1"/>
          <c:tx>
            <c:v>Переходная кривая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1!$T$5:$T$104</c:f>
              <c:numCache/>
            </c:numRef>
          </c:xVal>
          <c:yVal>
            <c:numRef>
              <c:f>1!$S$5:$S$104</c:f>
              <c:numCache/>
            </c:numRef>
          </c:yVal>
          <c:smooth val="1"/>
        </c:ser>
        <c:ser>
          <c:idx val="2"/>
          <c:order val="2"/>
          <c:tx>
            <c:v>Преходная кривая 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1!$U$5:$U$104</c:f>
              <c:numCache/>
            </c:numRef>
          </c:xVal>
          <c:yVal>
            <c:numRef>
              <c:f>1!$S$5:$S$104</c:f>
              <c:numCache/>
            </c:numRef>
          </c:yVal>
          <c:smooth val="1"/>
        </c:ser>
        <c:ser>
          <c:idx val="3"/>
          <c:order val="3"/>
          <c:tx>
            <c:v>Эвольвента 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1!$R$5:$R$104</c:f>
              <c:numCache/>
            </c:numRef>
          </c:xVal>
          <c:yVal>
            <c:numRef>
              <c:f>1!$P$5:$P$104</c:f>
              <c:numCache/>
            </c:numRef>
          </c:yVal>
          <c:smooth val="1"/>
        </c:ser>
        <c:ser>
          <c:idx val="5"/>
          <c:order val="4"/>
          <c:tx>
            <c:v>da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1!$V$5:$V$104</c:f>
              <c:numCache/>
            </c:numRef>
          </c:xVal>
          <c:yVal>
            <c:numRef>
              <c:f>1!$W$5:$W$104</c:f>
              <c:numCache/>
            </c:numRef>
          </c:yVal>
          <c:smooth val="1"/>
        </c:ser>
        <c:axId val="7223585"/>
        <c:axId val="65012266"/>
      </c:scatterChart>
      <c:val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00"/>
                    </a:solidFill>
                  </a:rPr>
                  <a:t>Ось X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65012266"/>
        <c:crosses val="autoZero"/>
        <c:crossBetween val="midCat"/>
        <c:dispUnits/>
        <c:majorUnit val="1"/>
      </c:valAx>
      <c:valAx>
        <c:axId val="65012266"/>
        <c:scaling>
          <c:orientation val="minMax"/>
          <c:min val="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00"/>
                    </a:solidFill>
                  </a:rPr>
                  <a:t>Ось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7223585"/>
        <c:crosses val="autoZero"/>
        <c:crossBetween val="midCat"/>
        <c:dispUnits/>
        <c:majorUnit val="1"/>
      </c:valAx>
      <c:spPr>
        <a:solidFill>
          <a:srgbClr val="CC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6</xdr:col>
      <xdr:colOff>4524375</xdr:colOff>
      <xdr:row>14</xdr:row>
      <xdr:rowOff>9525</xdr:rowOff>
    </xdr:to>
    <xdr:graphicFrame>
      <xdr:nvGraphicFramePr>
        <xdr:cNvPr id="1" name="Chart 8"/>
        <xdr:cNvGraphicFramePr/>
      </xdr:nvGraphicFramePr>
      <xdr:xfrm>
        <a:off x="4857750" y="28575"/>
        <a:ext cx="4505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28125" style="0" bestFit="1" customWidth="1"/>
    <col min="2" max="2" width="45.00390625" style="0" customWidth="1"/>
    <col min="3" max="3" width="8.00390625" style="0" bestFit="1" customWidth="1"/>
    <col min="4" max="4" width="9.57421875" style="0" bestFit="1" customWidth="1"/>
    <col min="5" max="5" width="5.00390625" style="0" bestFit="1" customWidth="1"/>
    <col min="6" max="6" width="1.7109375" style="0" customWidth="1"/>
    <col min="7" max="7" width="68.28125" style="0" customWidth="1"/>
    <col min="8" max="8" width="1.421875" style="0" customWidth="1"/>
    <col min="9" max="9" width="5.00390625" style="0" bestFit="1" customWidth="1"/>
    <col min="10" max="10" width="6.57421875" style="0" bestFit="1" customWidth="1"/>
    <col min="11" max="15" width="4.8515625" style="0" bestFit="1" customWidth="1"/>
    <col min="16" max="16" width="6.57421875" style="0" bestFit="1" customWidth="1"/>
    <col min="17" max="17" width="5.57421875" style="0" bestFit="1" customWidth="1"/>
    <col min="18" max="18" width="6.140625" style="0" bestFit="1" customWidth="1"/>
    <col min="19" max="19" width="6.57421875" style="0" bestFit="1" customWidth="1"/>
    <col min="20" max="20" width="5.57421875" style="0" bestFit="1" customWidth="1"/>
    <col min="21" max="22" width="6.140625" style="0" bestFit="1" customWidth="1"/>
    <col min="23" max="23" width="6.57421875" style="0" bestFit="1" customWidth="1"/>
  </cols>
  <sheetData>
    <row r="1" spans="1:23" ht="67.5" customHeight="1" thickBot="1">
      <c r="A1" s="117" t="s">
        <v>43</v>
      </c>
      <c r="B1" s="118"/>
      <c r="C1" s="118"/>
      <c r="D1" s="118"/>
      <c r="E1" s="118"/>
      <c r="I1" s="85" t="s">
        <v>60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26.25" thickBot="1">
      <c r="A2" s="115" t="s">
        <v>4</v>
      </c>
      <c r="B2" s="116"/>
      <c r="C2" s="35" t="s">
        <v>40</v>
      </c>
      <c r="D2" s="35" t="s">
        <v>41</v>
      </c>
      <c r="E2" s="36" t="s">
        <v>42</v>
      </c>
      <c r="I2" s="53" t="s">
        <v>61</v>
      </c>
      <c r="J2" s="87" t="s">
        <v>62</v>
      </c>
      <c r="K2" s="88"/>
      <c r="L2" s="88"/>
      <c r="M2" s="88"/>
      <c r="N2" s="88"/>
      <c r="O2" s="89"/>
      <c r="P2" s="122" t="s">
        <v>58</v>
      </c>
      <c r="Q2" s="123"/>
      <c r="R2" s="124"/>
      <c r="S2" s="122" t="s">
        <v>57</v>
      </c>
      <c r="T2" s="123"/>
      <c r="U2" s="124"/>
      <c r="V2" s="122" t="s">
        <v>59</v>
      </c>
      <c r="W2" s="125"/>
    </row>
    <row r="3" spans="1:23" ht="18.75" customHeight="1">
      <c r="A3" s="61">
        <v>1</v>
      </c>
      <c r="B3" s="16" t="s">
        <v>20</v>
      </c>
      <c r="C3" s="17" t="s">
        <v>21</v>
      </c>
      <c r="D3" s="38">
        <v>20</v>
      </c>
      <c r="E3" s="39" t="s">
        <v>19</v>
      </c>
      <c r="I3" s="49" t="s">
        <v>35</v>
      </c>
      <c r="J3" s="47" t="s">
        <v>50</v>
      </c>
      <c r="K3" s="48" t="s">
        <v>51</v>
      </c>
      <c r="L3" s="50" t="s">
        <v>44</v>
      </c>
      <c r="M3" s="51" t="s">
        <v>52</v>
      </c>
      <c r="N3" s="51" t="s">
        <v>53</v>
      </c>
      <c r="O3" s="52" t="s">
        <v>54</v>
      </c>
      <c r="P3" s="42" t="s">
        <v>38</v>
      </c>
      <c r="Q3" s="44" t="s">
        <v>39</v>
      </c>
      <c r="R3" s="45" t="s">
        <v>49</v>
      </c>
      <c r="S3" s="42" t="s">
        <v>46</v>
      </c>
      <c r="T3" s="44" t="s">
        <v>47</v>
      </c>
      <c r="U3" s="45" t="s">
        <v>48</v>
      </c>
      <c r="V3" s="42" t="s">
        <v>55</v>
      </c>
      <c r="W3" s="43" t="s">
        <v>56</v>
      </c>
    </row>
    <row r="4" spans="1:23" ht="18.75" customHeight="1" thickBot="1">
      <c r="A4" s="62">
        <v>2</v>
      </c>
      <c r="B4" s="19" t="s">
        <v>27</v>
      </c>
      <c r="C4" s="20" t="s">
        <v>28</v>
      </c>
      <c r="D4" s="33">
        <v>1</v>
      </c>
      <c r="E4" s="21" t="s">
        <v>0</v>
      </c>
      <c r="I4" s="54" t="s">
        <v>0</v>
      </c>
      <c r="J4" s="55" t="s">
        <v>1</v>
      </c>
      <c r="K4" s="7" t="s">
        <v>1</v>
      </c>
      <c r="L4" s="56" t="s">
        <v>45</v>
      </c>
      <c r="M4" s="60" t="s">
        <v>0</v>
      </c>
      <c r="N4" s="60" t="s">
        <v>0</v>
      </c>
      <c r="O4" s="58" t="s">
        <v>45</v>
      </c>
      <c r="P4" s="57" t="s">
        <v>1</v>
      </c>
      <c r="Q4" s="28" t="s">
        <v>1</v>
      </c>
      <c r="R4" s="27" t="s">
        <v>1</v>
      </c>
      <c r="S4" s="57" t="s">
        <v>1</v>
      </c>
      <c r="T4" s="28" t="s">
        <v>1</v>
      </c>
      <c r="U4" s="27" t="s">
        <v>1</v>
      </c>
      <c r="V4" s="57" t="s">
        <v>1</v>
      </c>
      <c r="W4" s="27" t="s">
        <v>1</v>
      </c>
    </row>
    <row r="5" spans="1:23" ht="18.75" customHeight="1">
      <c r="A5" s="62">
        <v>3</v>
      </c>
      <c r="B5" s="19" t="s">
        <v>30</v>
      </c>
      <c r="C5" s="20" t="s">
        <v>29</v>
      </c>
      <c r="D5" s="33">
        <v>0.25</v>
      </c>
      <c r="E5" s="21" t="s">
        <v>0</v>
      </c>
      <c r="I5" s="94">
        <v>1</v>
      </c>
      <c r="J5" s="91">
        <f>D14</f>
        <v>100</v>
      </c>
      <c r="K5" s="97">
        <f aca="true" t="shared" si="0" ref="K5:K36">ACOS($D$16/J5)-TAN(ACOS($D$16/J5))+$D$24</f>
        <v>0.034083189204392184</v>
      </c>
      <c r="L5" s="91">
        <f>PI()/2-D13/180*PI()</f>
        <v>1.2217304763960306</v>
      </c>
      <c r="M5" s="100">
        <f aca="true" t="shared" si="1" ref="M5:M36">$D$9/(2*COS($D$8/180*PI()))-$D$25-$D$6*COS(L5)</f>
        <v>8</v>
      </c>
      <c r="N5" s="100">
        <f aca="true" t="shared" si="2" ref="N5:N36">$D$25*TAN(L5)+$D$6*SIN(L5)</f>
        <v>2.7474774194546216</v>
      </c>
      <c r="O5" s="97">
        <f aca="true" t="shared" si="3" ref="O5:O36">2*COS($D$8/180*PI())/$D$9*($D$26+$D$25*TAN(L5))</f>
        <v>0.43298286856869694</v>
      </c>
      <c r="P5" s="103">
        <f aca="true" t="shared" si="4" ref="P5:P36">J5/2*COS(K5)</f>
        <v>49.97096121661331</v>
      </c>
      <c r="Q5" s="106">
        <f aca="true" t="shared" si="5" ref="Q5:Q36">P5*TAN(K5)</f>
        <v>1.7038295359947282</v>
      </c>
      <c r="R5" s="109">
        <f aca="true" t="shared" si="6" ref="R5:R36">-Q5</f>
        <v>-1.7038295359947282</v>
      </c>
      <c r="S5" s="103">
        <f aca="true" t="shared" si="7" ref="S5:S36">(M5*COS(O5)+N5*SIN(O5))*$D$7</f>
        <v>42.072666054427</v>
      </c>
      <c r="T5" s="106">
        <f aca="true" t="shared" si="8" ref="T5:T36">(M5*SIN(O5)-N5*COS(O5))*$D$7</f>
        <v>4.313533972625157</v>
      </c>
      <c r="U5" s="109">
        <f aca="true" t="shared" si="9" ref="U5:U36">-T5</f>
        <v>-4.313533972625157</v>
      </c>
      <c r="V5" s="112">
        <f>R5</f>
        <v>-1.7038295359947282</v>
      </c>
      <c r="W5" s="109">
        <f>(($D$14/2)^2-V5^2)^0.5</f>
        <v>49.97096121661332</v>
      </c>
    </row>
    <row r="6" spans="1:23" ht="18.75" customHeight="1">
      <c r="A6" s="62">
        <v>4</v>
      </c>
      <c r="B6" s="19" t="s">
        <v>33</v>
      </c>
      <c r="C6" s="31" t="s">
        <v>32</v>
      </c>
      <c r="D6" s="33">
        <v>0.38</v>
      </c>
      <c r="E6" s="21" t="s">
        <v>0</v>
      </c>
      <c r="I6" s="95">
        <v>2</v>
      </c>
      <c r="J6" s="92">
        <f aca="true" t="shared" si="10" ref="J6:J69">J5-$D$21</f>
        <v>99.8443073186205</v>
      </c>
      <c r="K6" s="98">
        <f t="shared" si="0"/>
        <v>0.03506362867123641</v>
      </c>
      <c r="L6" s="92">
        <f aca="true" t="shared" si="11" ref="L6:L37">L5-$D$22</f>
        <v>1.2093897645132423</v>
      </c>
      <c r="M6" s="101">
        <f t="shared" si="1"/>
        <v>7.995603347478538</v>
      </c>
      <c r="N6" s="101">
        <f t="shared" si="2"/>
        <v>2.6570668991257618</v>
      </c>
      <c r="O6" s="98">
        <f t="shared" si="3"/>
        <v>0.4231184821975575</v>
      </c>
      <c r="P6" s="104">
        <f t="shared" si="4"/>
        <v>49.8914682063921</v>
      </c>
      <c r="Q6" s="107">
        <f t="shared" si="5"/>
        <v>1.7500931959041583</v>
      </c>
      <c r="R6" s="110">
        <f t="shared" si="6"/>
        <v>-1.7500931959041583</v>
      </c>
      <c r="S6" s="104">
        <f t="shared" si="7"/>
        <v>41.90750868697501</v>
      </c>
      <c r="T6" s="107">
        <f t="shared" si="8"/>
        <v>4.301470744653415</v>
      </c>
      <c r="U6" s="110">
        <f t="shared" si="9"/>
        <v>-4.301470744653415</v>
      </c>
      <c r="V6" s="113">
        <f aca="true" t="shared" si="12" ref="V6:V37">V5+$D$23</f>
        <v>-1.669408737287764</v>
      </c>
      <c r="W6" s="110">
        <f aca="true" t="shared" si="13" ref="W6:W69">(($D$14/2)^2-V6^2)^0.5</f>
        <v>49.97212297339255</v>
      </c>
    </row>
    <row r="7" spans="1:23" ht="18.75" customHeight="1">
      <c r="A7" s="62">
        <v>5</v>
      </c>
      <c r="B7" s="24" t="s">
        <v>5</v>
      </c>
      <c r="C7" s="25" t="s">
        <v>2</v>
      </c>
      <c r="D7" s="29">
        <v>5</v>
      </c>
      <c r="E7" s="21" t="s">
        <v>1</v>
      </c>
      <c r="I7" s="95">
        <v>3</v>
      </c>
      <c r="J7" s="92">
        <f t="shared" si="10"/>
        <v>99.68861463724099</v>
      </c>
      <c r="K7" s="98">
        <f t="shared" si="0"/>
        <v>0.03604019310630763</v>
      </c>
      <c r="L7" s="92">
        <f t="shared" si="11"/>
        <v>1.197049052630454</v>
      </c>
      <c r="M7" s="101">
        <f t="shared" si="1"/>
        <v>7.991227157463598</v>
      </c>
      <c r="N7" s="101">
        <f t="shared" si="2"/>
        <v>2.572215952654914</v>
      </c>
      <c r="O7" s="98">
        <f t="shared" si="3"/>
        <v>0.4138778409493157</v>
      </c>
      <c r="P7" s="104">
        <f t="shared" si="4"/>
        <v>49.811939548661925</v>
      </c>
      <c r="Q7" s="107">
        <f t="shared" si="5"/>
        <v>1.7960095972834853</v>
      </c>
      <c r="R7" s="110">
        <f t="shared" si="6"/>
        <v>-1.7960095972834853</v>
      </c>
      <c r="S7" s="104">
        <f t="shared" si="7"/>
        <v>41.754814292007026</v>
      </c>
      <c r="T7" s="107">
        <f t="shared" si="8"/>
        <v>4.293674786463151</v>
      </c>
      <c r="U7" s="110">
        <f t="shared" si="9"/>
        <v>-4.293674786463151</v>
      </c>
      <c r="V7" s="113">
        <f t="shared" si="12"/>
        <v>-1.6349879385807997</v>
      </c>
      <c r="W7" s="110">
        <f t="shared" si="13"/>
        <v>49.97326099466289</v>
      </c>
    </row>
    <row r="8" spans="1:23" ht="18.75" customHeight="1">
      <c r="A8" s="62">
        <v>6</v>
      </c>
      <c r="B8" s="19" t="s">
        <v>10</v>
      </c>
      <c r="C8" s="31" t="s">
        <v>18</v>
      </c>
      <c r="D8" s="34">
        <v>0</v>
      </c>
      <c r="E8" s="22" t="s">
        <v>19</v>
      </c>
      <c r="I8" s="95">
        <v>4</v>
      </c>
      <c r="J8" s="92">
        <f t="shared" si="10"/>
        <v>99.53292195586148</v>
      </c>
      <c r="K8" s="98">
        <f t="shared" si="0"/>
        <v>0.037012848778301966</v>
      </c>
      <c r="L8" s="92">
        <f t="shared" si="11"/>
        <v>1.1847083407476657</v>
      </c>
      <c r="M8" s="101">
        <f t="shared" si="1"/>
        <v>7.986872096410569</v>
      </c>
      <c r="N8" s="101">
        <f t="shared" si="2"/>
        <v>2.492385650277498</v>
      </c>
      <c r="O8" s="98">
        <f t="shared" si="3"/>
        <v>0.40520103522374923</v>
      </c>
      <c r="P8" s="104">
        <f t="shared" si="4"/>
        <v>49.73237606355742</v>
      </c>
      <c r="Q8" s="107">
        <f t="shared" si="5"/>
        <v>1.8415779486093422</v>
      </c>
      <c r="R8" s="110">
        <f t="shared" si="6"/>
        <v>-1.8415779486093422</v>
      </c>
      <c r="S8" s="104">
        <f t="shared" si="7"/>
        <v>41.61313847715352</v>
      </c>
      <c r="T8" s="107">
        <f t="shared" si="8"/>
        <v>4.289464877408231</v>
      </c>
      <c r="U8" s="110">
        <f t="shared" si="9"/>
        <v>-4.289464877408231</v>
      </c>
      <c r="V8" s="113">
        <f t="shared" si="12"/>
        <v>-1.6005671398738355</v>
      </c>
      <c r="W8" s="110">
        <f t="shared" si="13"/>
        <v>49.97437528204586</v>
      </c>
    </row>
    <row r="9" spans="1:23" ht="18.75" customHeight="1">
      <c r="A9" s="62">
        <v>7</v>
      </c>
      <c r="B9" s="24" t="s">
        <v>11</v>
      </c>
      <c r="C9" s="25" t="s">
        <v>6</v>
      </c>
      <c r="D9" s="30">
        <v>18</v>
      </c>
      <c r="E9" s="21" t="s">
        <v>3</v>
      </c>
      <c r="I9" s="95">
        <v>5</v>
      </c>
      <c r="J9" s="92">
        <f t="shared" si="10"/>
        <v>99.37722927448198</v>
      </c>
      <c r="K9" s="98">
        <f t="shared" si="0"/>
        <v>0.03798156143248138</v>
      </c>
      <c r="L9" s="92">
        <f t="shared" si="11"/>
        <v>1.1723676288648774</v>
      </c>
      <c r="M9" s="101">
        <f t="shared" si="1"/>
        <v>7.9825388275570885</v>
      </c>
      <c r="N9" s="101">
        <f t="shared" si="2"/>
        <v>2.417103839517868</v>
      </c>
      <c r="O9" s="98">
        <f t="shared" si="3"/>
        <v>0.39703557420776336</v>
      </c>
      <c r="P9" s="104">
        <f t="shared" si="4"/>
        <v>49.652778572527644</v>
      </c>
      <c r="Q9" s="107">
        <f t="shared" si="5"/>
        <v>1.886797444289941</v>
      </c>
      <c r="R9" s="110">
        <f t="shared" si="6"/>
        <v>-1.886797444289941</v>
      </c>
      <c r="S9" s="104">
        <f t="shared" si="7"/>
        <v>41.48124313893341</v>
      </c>
      <c r="T9" s="107">
        <f t="shared" si="8"/>
        <v>4.288285818413122</v>
      </c>
      <c r="U9" s="110">
        <f t="shared" si="9"/>
        <v>-4.288285818413122</v>
      </c>
      <c r="V9" s="113">
        <f t="shared" si="12"/>
        <v>-1.5661463411668712</v>
      </c>
      <c r="W9" s="110">
        <f t="shared" si="13"/>
        <v>49.975465837129015</v>
      </c>
    </row>
    <row r="10" spans="1:23" ht="18.75" customHeight="1">
      <c r="A10" s="62">
        <v>8</v>
      </c>
      <c r="B10" s="19" t="s">
        <v>34</v>
      </c>
      <c r="C10" s="20" t="s">
        <v>7</v>
      </c>
      <c r="D10" s="32">
        <v>0</v>
      </c>
      <c r="E10" s="21" t="s">
        <v>0</v>
      </c>
      <c r="I10" s="95">
        <v>6</v>
      </c>
      <c r="J10" s="92">
        <f t="shared" si="10"/>
        <v>99.22153659310247</v>
      </c>
      <c r="K10" s="98">
        <f t="shared" si="0"/>
        <v>0.038946296277596215</v>
      </c>
      <c r="L10" s="92">
        <f t="shared" si="11"/>
        <v>1.1600269169820892</v>
      </c>
      <c r="M10" s="101">
        <f t="shared" si="1"/>
        <v>7.978228010822029</v>
      </c>
      <c r="N10" s="101">
        <f t="shared" si="2"/>
        <v>2.345955115056657</v>
      </c>
      <c r="O10" s="98">
        <f t="shared" si="3"/>
        <v>0.38933527142068924</v>
      </c>
      <c r="P10" s="104">
        <f t="shared" si="4"/>
        <v>49.57314789837784</v>
      </c>
      <c r="Q10" s="107">
        <f t="shared" si="5"/>
        <v>1.9316672642175632</v>
      </c>
      <c r="R10" s="110">
        <f t="shared" si="6"/>
        <v>-1.9316672642175632</v>
      </c>
      <c r="S10" s="104">
        <f t="shared" si="7"/>
        <v>41.3580622415843</v>
      </c>
      <c r="T10" s="107">
        <f t="shared" si="8"/>
        <v>4.289682678751701</v>
      </c>
      <c r="U10" s="110">
        <f t="shared" si="9"/>
        <v>-4.289682678751701</v>
      </c>
      <c r="V10" s="113">
        <f t="shared" si="12"/>
        <v>-1.531725542459907</v>
      </c>
      <c r="W10" s="110">
        <f t="shared" si="13"/>
        <v>49.97653266146598</v>
      </c>
    </row>
    <row r="11" spans="1:23" ht="18.75" customHeight="1" thickBot="1">
      <c r="A11" s="62">
        <v>9</v>
      </c>
      <c r="B11" s="19" t="s">
        <v>15</v>
      </c>
      <c r="C11" s="31" t="s">
        <v>23</v>
      </c>
      <c r="D11" s="32">
        <v>0</v>
      </c>
      <c r="E11" s="21" t="s">
        <v>0</v>
      </c>
      <c r="I11" s="95">
        <v>7</v>
      </c>
      <c r="J11" s="92">
        <f t="shared" si="10"/>
        <v>99.06584391172296</v>
      </c>
      <c r="K11" s="98">
        <f t="shared" si="0"/>
        <v>0.0399070179723387</v>
      </c>
      <c r="L11" s="92">
        <f t="shared" si="11"/>
        <v>1.1476862050993009</v>
      </c>
      <c r="M11" s="101">
        <f t="shared" si="1"/>
        <v>7.973940302705004</v>
      </c>
      <c r="N11" s="101">
        <f t="shared" si="2"/>
        <v>2.2785725438467903</v>
      </c>
      <c r="O11" s="98">
        <f t="shared" si="3"/>
        <v>0.3820593252873486</v>
      </c>
      <c r="P11" s="104">
        <f t="shared" si="4"/>
        <v>49.4934848653129</v>
      </c>
      <c r="Q11" s="107">
        <f t="shared" si="5"/>
        <v>1.9761865733039596</v>
      </c>
      <c r="R11" s="110">
        <f t="shared" si="6"/>
        <v>-1.9761865733039596</v>
      </c>
      <c r="S11" s="104">
        <f t="shared" si="7"/>
        <v>41.24267401022842</v>
      </c>
      <c r="T11" s="107">
        <f t="shared" si="8"/>
        <v>4.2932808204122015</v>
      </c>
      <c r="U11" s="110">
        <f t="shared" si="9"/>
        <v>-4.2932808204122015</v>
      </c>
      <c r="V11" s="113">
        <f t="shared" si="12"/>
        <v>-1.4973047437529428</v>
      </c>
      <c r="W11" s="110">
        <f t="shared" si="13"/>
        <v>49.97757575657642</v>
      </c>
    </row>
    <row r="12" spans="1:23" ht="26.25" thickBot="1">
      <c r="A12" s="115" t="s">
        <v>8</v>
      </c>
      <c r="B12" s="116"/>
      <c r="C12" s="35" t="s">
        <v>40</v>
      </c>
      <c r="D12" s="35" t="s">
        <v>41</v>
      </c>
      <c r="E12" s="36" t="s">
        <v>42</v>
      </c>
      <c r="I12" s="95">
        <v>8</v>
      </c>
      <c r="J12" s="92">
        <f t="shared" si="10"/>
        <v>98.91015123034346</v>
      </c>
      <c r="K12" s="98">
        <f t="shared" si="0"/>
        <v>0.040863690611305736</v>
      </c>
      <c r="L12" s="92">
        <f t="shared" si="11"/>
        <v>1.1353454932165126</v>
      </c>
      <c r="M12" s="101">
        <f t="shared" si="1"/>
        <v>7.969676356186387</v>
      </c>
      <c r="N12" s="101">
        <f t="shared" si="2"/>
        <v>2.214630797270324</v>
      </c>
      <c r="O12" s="98">
        <f t="shared" si="3"/>
        <v>0.3751715560491266</v>
      </c>
      <c r="P12" s="104">
        <f t="shared" si="4"/>
        <v>49.413790298982704</v>
      </c>
      <c r="Q12" s="107">
        <f t="shared" si="5"/>
        <v>2.0203545209978437</v>
      </c>
      <c r="R12" s="110">
        <f t="shared" si="6"/>
        <v>-2.0203545209978437</v>
      </c>
      <c r="S12" s="104">
        <f t="shared" si="7"/>
        <v>41.13427820884718</v>
      </c>
      <c r="T12" s="107">
        <f t="shared" si="8"/>
        <v>4.298770289457561</v>
      </c>
      <c r="U12" s="110">
        <f t="shared" si="9"/>
        <v>-4.298770289457561</v>
      </c>
      <c r="V12" s="113">
        <f t="shared" si="12"/>
        <v>-1.4628839450459785</v>
      </c>
      <c r="W12" s="110">
        <f t="shared" si="13"/>
        <v>49.97859512394608</v>
      </c>
    </row>
    <row r="13" spans="1:23" ht="18.75" customHeight="1">
      <c r="A13" s="66">
        <v>10</v>
      </c>
      <c r="B13" s="5" t="s">
        <v>9</v>
      </c>
      <c r="C13" s="6" t="s">
        <v>31</v>
      </c>
      <c r="D13" s="40">
        <f>ATAN(TAN(D3/180*PI())/COS(D8/180*PI()))/PI()*180</f>
        <v>20</v>
      </c>
      <c r="E13" s="2" t="s">
        <v>19</v>
      </c>
      <c r="I13" s="95">
        <v>9</v>
      </c>
      <c r="J13" s="92">
        <f t="shared" si="10"/>
        <v>98.75445854896395</v>
      </c>
      <c r="K13" s="98">
        <f t="shared" si="0"/>
        <v>0.04181627771044344</v>
      </c>
      <c r="L13" s="92">
        <f t="shared" si="11"/>
        <v>1.1230047813337243</v>
      </c>
      <c r="M13" s="101">
        <f t="shared" si="1"/>
        <v>7.965436820627867</v>
      </c>
      <c r="N13" s="101">
        <f t="shared" si="2"/>
        <v>2.153840418898504</v>
      </c>
      <c r="O13" s="98">
        <f t="shared" si="3"/>
        <v>0.3686397688533168</v>
      </c>
      <c r="P13" s="104">
        <f t="shared" si="4"/>
        <v>49.33406502652933</v>
      </c>
      <c r="Q13" s="107">
        <f t="shared" si="5"/>
        <v>2.0641702407833877</v>
      </c>
      <c r="R13" s="110">
        <f t="shared" si="6"/>
        <v>-2.0641702407833877</v>
      </c>
      <c r="S13" s="104">
        <f t="shared" si="7"/>
        <v>41.032177473307186</v>
      </c>
      <c r="T13" s="107">
        <f t="shared" si="8"/>
        <v>4.305893535190865</v>
      </c>
      <c r="U13" s="110">
        <f t="shared" si="9"/>
        <v>-4.305893535190865</v>
      </c>
      <c r="V13" s="113">
        <f t="shared" si="12"/>
        <v>-1.4284631463390143</v>
      </c>
      <c r="W13" s="110">
        <f t="shared" si="13"/>
        <v>49.979590765026785</v>
      </c>
    </row>
    <row r="14" spans="1:23" ht="18.75" customHeight="1">
      <c r="A14" s="71">
        <v>11</v>
      </c>
      <c r="B14" s="37" t="s">
        <v>17</v>
      </c>
      <c r="C14" s="15" t="s">
        <v>24</v>
      </c>
      <c r="D14" s="26">
        <f>D15+2*D7*(D4+D10-D11)</f>
        <v>100</v>
      </c>
      <c r="E14" s="13" t="s">
        <v>1</v>
      </c>
      <c r="I14" s="95">
        <v>10</v>
      </c>
      <c r="J14" s="92">
        <f t="shared" si="10"/>
        <v>98.59876586758445</v>
      </c>
      <c r="K14" s="98">
        <f t="shared" si="0"/>
        <v>0.04276474219195342</v>
      </c>
      <c r="L14" s="92">
        <f t="shared" si="11"/>
        <v>1.110664069450936</v>
      </c>
      <c r="M14" s="101">
        <f t="shared" si="1"/>
        <v>7.961222341673561</v>
      </c>
      <c r="N14" s="101">
        <f t="shared" si="2"/>
        <v>2.0959430146568927</v>
      </c>
      <c r="O14" s="98">
        <f t="shared" si="3"/>
        <v>0.3624352193320534</v>
      </c>
      <c r="P14" s="104">
        <f t="shared" si="4"/>
        <v>49.2543098766364</v>
      </c>
      <c r="Q14" s="107">
        <f t="shared" si="5"/>
        <v>2.1076328496590353</v>
      </c>
      <c r="R14" s="110">
        <f t="shared" si="6"/>
        <v>-2.1076328496590353</v>
      </c>
      <c r="S14" s="104">
        <f t="shared" si="7"/>
        <v>40.93576189688646</v>
      </c>
      <c r="T14" s="107">
        <f t="shared" si="8"/>
        <v>4.314435684733368</v>
      </c>
      <c r="U14" s="110">
        <f t="shared" si="9"/>
        <v>-4.314435684733368</v>
      </c>
      <c r="V14" s="113">
        <f t="shared" si="12"/>
        <v>-1.39404234763205</v>
      </c>
      <c r="W14" s="110">
        <f t="shared" si="13"/>
        <v>49.98056268123648</v>
      </c>
    </row>
    <row r="15" spans="1:23" ht="18.75" customHeight="1">
      <c r="A15" s="71">
        <v>12</v>
      </c>
      <c r="B15" s="9" t="s">
        <v>12</v>
      </c>
      <c r="C15" s="12" t="s">
        <v>13</v>
      </c>
      <c r="D15" s="26">
        <f>D7*D9/COS(D8/180*PI())</f>
        <v>90</v>
      </c>
      <c r="E15" s="13" t="s">
        <v>1</v>
      </c>
      <c r="I15" s="95">
        <v>11</v>
      </c>
      <c r="J15" s="92">
        <f t="shared" si="10"/>
        <v>98.44307318620494</v>
      </c>
      <c r="K15" s="98">
        <f t="shared" si="0"/>
        <v>0.04370904636863121</v>
      </c>
      <c r="L15" s="92">
        <f t="shared" si="11"/>
        <v>1.0983233575681477</v>
      </c>
      <c r="M15" s="101">
        <f t="shared" si="1"/>
        <v>7.957033561151679</v>
      </c>
      <c r="N15" s="101">
        <f t="shared" si="2"/>
        <v>2.0407071967462733</v>
      </c>
      <c r="O15" s="98">
        <f t="shared" si="3"/>
        <v>0.3565321629320218</v>
      </c>
      <c r="P15" s="104">
        <f t="shared" si="4"/>
        <v>49.17452567958048</v>
      </c>
      <c r="Q15" s="107">
        <f t="shared" si="5"/>
        <v>2.1507414475954514</v>
      </c>
      <c r="R15" s="110">
        <f t="shared" si="6"/>
        <v>-2.1507414475954514</v>
      </c>
      <c r="S15" s="104">
        <f t="shared" si="7"/>
        <v>40.844496239042776</v>
      </c>
      <c r="T15" s="107">
        <f t="shared" si="8"/>
        <v>4.3242167941114</v>
      </c>
      <c r="U15" s="110">
        <f t="shared" si="9"/>
        <v>-4.3242167941114</v>
      </c>
      <c r="V15" s="113">
        <f t="shared" si="12"/>
        <v>-1.3596215489250858</v>
      </c>
      <c r="W15" s="110">
        <f t="shared" si="13"/>
        <v>49.98151087395917</v>
      </c>
    </row>
    <row r="16" spans="1:23" ht="18.75" customHeight="1">
      <c r="A16" s="71">
        <v>13</v>
      </c>
      <c r="B16" s="9" t="s">
        <v>14</v>
      </c>
      <c r="C16" s="12" t="s">
        <v>25</v>
      </c>
      <c r="D16" s="26">
        <f>D15*COS(D13/180*PI())</f>
        <v>84.57233587073176</v>
      </c>
      <c r="E16" s="13" t="s">
        <v>1</v>
      </c>
      <c r="I16" s="95">
        <v>12</v>
      </c>
      <c r="J16" s="92">
        <f t="shared" si="10"/>
        <v>98.28738050482544</v>
      </c>
      <c r="K16" s="98">
        <f t="shared" si="0"/>
        <v>0.044649151927609376</v>
      </c>
      <c r="L16" s="92">
        <f t="shared" si="11"/>
        <v>1.0859826456853594</v>
      </c>
      <c r="M16" s="101">
        <f t="shared" si="1"/>
        <v>7.95287111697679</v>
      </c>
      <c r="N16" s="101">
        <f t="shared" si="2"/>
        <v>1.9879251470131591</v>
      </c>
      <c r="O16" s="98">
        <f t="shared" si="3"/>
        <v>0.3509074730720361</v>
      </c>
      <c r="P16" s="104">
        <f t="shared" si="4"/>
        <v>49.09471326728476</v>
      </c>
      <c r="Q16" s="107">
        <f t="shared" si="5"/>
        <v>2.193495116971592</v>
      </c>
      <c r="R16" s="110">
        <f t="shared" si="6"/>
        <v>-2.193495116971592</v>
      </c>
      <c r="S16" s="104">
        <f t="shared" si="7"/>
        <v>40.7579092611584</v>
      </c>
      <c r="T16" s="107">
        <f t="shared" si="8"/>
        <v>4.3350856385371594</v>
      </c>
      <c r="U16" s="110">
        <f t="shared" si="9"/>
        <v>-4.3350856385371594</v>
      </c>
      <c r="V16" s="113">
        <f t="shared" si="12"/>
        <v>-1.3252007502181216</v>
      </c>
      <c r="W16" s="110">
        <f t="shared" si="13"/>
        <v>49.982435344545</v>
      </c>
    </row>
    <row r="17" spans="1:23" ht="18.75" customHeight="1" thickBot="1">
      <c r="A17" s="72">
        <v>14</v>
      </c>
      <c r="B17" s="8" t="s">
        <v>16</v>
      </c>
      <c r="C17" s="10" t="s">
        <v>26</v>
      </c>
      <c r="D17" s="14">
        <f>D14-2*D7*(2*D4+D5-D11)</f>
        <v>77.5</v>
      </c>
      <c r="E17" s="11" t="s">
        <v>1</v>
      </c>
      <c r="I17" s="95">
        <v>13</v>
      </c>
      <c r="J17" s="92">
        <f t="shared" si="10"/>
        <v>98.13168782344593</v>
      </c>
      <c r="K17" s="98">
        <f t="shared" si="0"/>
        <v>0.0455850199134768</v>
      </c>
      <c r="L17" s="92">
        <f t="shared" si="11"/>
        <v>1.0736419338025711</v>
      </c>
      <c r="M17" s="101">
        <f t="shared" si="1"/>
        <v>7.948735643052666</v>
      </c>
      <c r="N17" s="101">
        <f t="shared" si="2"/>
        <v>1.9374096921344355</v>
      </c>
      <c r="O17" s="98">
        <f t="shared" si="3"/>
        <v>0.34554031616898845</v>
      </c>
      <c r="P17" s="104">
        <f t="shared" si="4"/>
        <v>49.01487347337506</v>
      </c>
      <c r="Q17" s="107">
        <f t="shared" si="5"/>
        <v>2.235892921987812</v>
      </c>
      <c r="R17" s="110">
        <f t="shared" si="6"/>
        <v>-2.235892921987812</v>
      </c>
      <c r="S17" s="104">
        <f t="shared" si="7"/>
        <v>40.67558479567272</v>
      </c>
      <c r="T17" s="107">
        <f t="shared" si="8"/>
        <v>4.34691470906051</v>
      </c>
      <c r="U17" s="110">
        <f t="shared" si="9"/>
        <v>-4.34691470906051</v>
      </c>
      <c r="V17" s="113">
        <f t="shared" si="12"/>
        <v>-1.2907799515111573</v>
      </c>
      <c r="W17" s="110">
        <f t="shared" si="13"/>
        <v>49.98333609431024</v>
      </c>
    </row>
    <row r="18" spans="1:23" ht="26.25" thickBot="1">
      <c r="A18" s="126" t="s">
        <v>71</v>
      </c>
      <c r="B18" s="127"/>
      <c r="C18" s="64" t="s">
        <v>40</v>
      </c>
      <c r="D18" s="64" t="s">
        <v>41</v>
      </c>
      <c r="E18" s="65" t="s">
        <v>42</v>
      </c>
      <c r="I18" s="95">
        <v>14</v>
      </c>
      <c r="J18" s="92">
        <f t="shared" si="10"/>
        <v>97.97599514206642</v>
      </c>
      <c r="K18" s="98">
        <f t="shared" si="0"/>
        <v>0.04651661071073937</v>
      </c>
      <c r="L18" s="92">
        <f t="shared" si="11"/>
        <v>1.0613012219197828</v>
      </c>
      <c r="M18" s="101">
        <f t="shared" si="1"/>
        <v>7.944627769175747</v>
      </c>
      <c r="N18" s="101">
        <f t="shared" si="2"/>
        <v>1.8889918038373514</v>
      </c>
      <c r="O18" s="98">
        <f t="shared" si="3"/>
        <v>0.34041187389008026</v>
      </c>
      <c r="P18" s="104">
        <f t="shared" si="4"/>
        <v>48.93500713323838</v>
      </c>
      <c r="Q18" s="107">
        <f t="shared" si="5"/>
        <v>2.2779339080546595</v>
      </c>
      <c r="R18" s="110">
        <f t="shared" si="6"/>
        <v>-2.2779339080546595</v>
      </c>
      <c r="S18" s="104">
        <f t="shared" si="7"/>
        <v>40.59715423475381</v>
      </c>
      <c r="T18" s="107">
        <f t="shared" si="8"/>
        <v>4.359596160504839</v>
      </c>
      <c r="U18" s="110">
        <f t="shared" si="9"/>
        <v>-4.359596160504839</v>
      </c>
      <c r="V18" s="113">
        <f t="shared" si="12"/>
        <v>-1.256359152804193</v>
      </c>
      <c r="W18" s="110">
        <f t="shared" si="13"/>
        <v>49.984213124537284</v>
      </c>
    </row>
    <row r="19" spans="1:23" ht="18.75" customHeight="1">
      <c r="A19" s="61">
        <v>15</v>
      </c>
      <c r="B19" s="16" t="s">
        <v>36</v>
      </c>
      <c r="C19" s="23" t="s">
        <v>37</v>
      </c>
      <c r="D19" s="90">
        <v>100</v>
      </c>
      <c r="E19" s="18" t="s">
        <v>3</v>
      </c>
      <c r="I19" s="95">
        <v>15</v>
      </c>
      <c r="J19" s="92">
        <f t="shared" si="10"/>
        <v>97.82030246068692</v>
      </c>
      <c r="K19" s="98">
        <f t="shared" si="0"/>
        <v>0.04744388402559302</v>
      </c>
      <c r="L19" s="92">
        <f t="shared" si="11"/>
        <v>1.0489605100369945</v>
      </c>
      <c r="M19" s="101">
        <f t="shared" si="1"/>
        <v>7.940548120939227</v>
      </c>
      <c r="N19" s="101">
        <f t="shared" si="2"/>
        <v>1.8425184537936827</v>
      </c>
      <c r="O19" s="98">
        <f t="shared" si="3"/>
        <v>0.33550510481342727</v>
      </c>
      <c r="P19" s="104">
        <f t="shared" si="4"/>
        <v>48.85511508408399</v>
      </c>
      <c r="Q19" s="107">
        <f t="shared" si="5"/>
        <v>2.319617101156297</v>
      </c>
      <c r="R19" s="110">
        <f t="shared" si="6"/>
        <v>-2.319617101156297</v>
      </c>
      <c r="S19" s="104">
        <f t="shared" si="7"/>
        <v>40.52229018693585</v>
      </c>
      <c r="T19" s="107">
        <f t="shared" si="8"/>
        <v>4.373038513871839</v>
      </c>
      <c r="U19" s="110">
        <f t="shared" si="9"/>
        <v>-4.373038513871839</v>
      </c>
      <c r="V19" s="113">
        <f t="shared" si="12"/>
        <v>-1.2219383540972288</v>
      </c>
      <c r="W19" s="110">
        <f t="shared" si="13"/>
        <v>49.98506643647467</v>
      </c>
    </row>
    <row r="20" spans="1:23" ht="18.75" customHeight="1" thickBot="1">
      <c r="A20" s="76">
        <v>16</v>
      </c>
      <c r="B20" s="59" t="s">
        <v>73</v>
      </c>
      <c r="C20" s="77" t="s">
        <v>72</v>
      </c>
      <c r="D20" s="80">
        <f>2*D7*((D9/(2*COS(D8/180*PI()))-(1-D10))^2+((1-D10)/TAN(D13/180*PI()))^2)^0.5</f>
        <v>84.58642454342956</v>
      </c>
      <c r="E20" s="7" t="s">
        <v>1</v>
      </c>
      <c r="I20" s="95">
        <v>16</v>
      </c>
      <c r="J20" s="92">
        <f t="shared" si="10"/>
        <v>97.66460977930741</v>
      </c>
      <c r="K20" s="98">
        <f t="shared" si="0"/>
        <v>0.04836679886696865</v>
      </c>
      <c r="L20" s="92">
        <f t="shared" si="11"/>
        <v>1.0366197981542062</v>
      </c>
      <c r="M20" s="101">
        <f t="shared" si="1"/>
        <v>7.936497319637782</v>
      </c>
      <c r="N20" s="101">
        <f t="shared" si="2"/>
        <v>1.797850765830895</v>
      </c>
      <c r="O20" s="98">
        <f t="shared" si="3"/>
        <v>0.33080453912401725</v>
      </c>
      <c r="P20" s="104">
        <f t="shared" si="4"/>
        <v>48.775198165007374</v>
      </c>
      <c r="Q20" s="107">
        <f t="shared" si="5"/>
        <v>2.360941507186959</v>
      </c>
      <c r="R20" s="110">
        <f t="shared" si="6"/>
        <v>-2.360941507186959</v>
      </c>
      <c r="S20" s="104">
        <f t="shared" si="7"/>
        <v>40.45070109905395</v>
      </c>
      <c r="T20" s="107">
        <f t="shared" si="8"/>
        <v>4.38716396039701</v>
      </c>
      <c r="U20" s="110">
        <f t="shared" si="9"/>
        <v>-4.38716396039701</v>
      </c>
      <c r="V20" s="113">
        <f t="shared" si="12"/>
        <v>-1.1875175553902646</v>
      </c>
      <c r="W20" s="110">
        <f t="shared" si="13"/>
        <v>49.98589603133708</v>
      </c>
    </row>
    <row r="21" spans="1:23" ht="18.75" customHeight="1">
      <c r="A21" s="78">
        <v>17</v>
      </c>
      <c r="B21" s="79" t="s">
        <v>63</v>
      </c>
      <c r="C21" s="51" t="s">
        <v>66</v>
      </c>
      <c r="D21" s="81">
        <f>(D14-D20)/(D19-1)</f>
        <v>0.1556926813794994</v>
      </c>
      <c r="E21" s="48" t="s">
        <v>1</v>
      </c>
      <c r="I21" s="95">
        <v>17</v>
      </c>
      <c r="J21" s="92">
        <f t="shared" si="10"/>
        <v>97.5089170979279</v>
      </c>
      <c r="K21" s="98">
        <f t="shared" si="0"/>
        <v>0.049285313526814256</v>
      </c>
      <c r="L21" s="92">
        <f t="shared" si="11"/>
        <v>1.024279086271418</v>
      </c>
      <c r="M21" s="101">
        <f t="shared" si="1"/>
        <v>7.932475982172955</v>
      </c>
      <c r="N21" s="101">
        <f t="shared" si="2"/>
        <v>1.7548624184644357</v>
      </c>
      <c r="O21" s="98">
        <f t="shared" si="3"/>
        <v>0.3262961011232575</v>
      </c>
      <c r="P21" s="104">
        <f t="shared" si="4"/>
        <v>48.695257217056984</v>
      </c>
      <c r="Q21" s="107">
        <f t="shared" si="5"/>
        <v>2.401906111259149</v>
      </c>
      <c r="R21" s="110">
        <f t="shared" si="6"/>
        <v>-2.401906111259149</v>
      </c>
      <c r="S21" s="104">
        <f t="shared" si="7"/>
        <v>40.38212667941663</v>
      </c>
      <c r="T21" s="107">
        <f t="shared" si="8"/>
        <v>4.401906147885095</v>
      </c>
      <c r="U21" s="110">
        <f t="shared" si="9"/>
        <v>-4.401906147885095</v>
      </c>
      <c r="V21" s="113">
        <f t="shared" si="12"/>
        <v>-1.1530967566833004</v>
      </c>
      <c r="W21" s="110">
        <f t="shared" si="13"/>
        <v>49.98670191030537</v>
      </c>
    </row>
    <row r="22" spans="1:23" ht="18.75" customHeight="1">
      <c r="A22" s="73">
        <v>18</v>
      </c>
      <c r="B22" s="63" t="s">
        <v>64</v>
      </c>
      <c r="C22" s="41" t="s">
        <v>67</v>
      </c>
      <c r="D22" s="82">
        <f>L5/(D19-1)</f>
        <v>0.012340711882788189</v>
      </c>
      <c r="E22" s="67" t="s">
        <v>45</v>
      </c>
      <c r="I22" s="95">
        <v>18</v>
      </c>
      <c r="J22" s="92">
        <f t="shared" si="10"/>
        <v>97.3532244165484</v>
      </c>
      <c r="K22" s="98">
        <f t="shared" si="0"/>
        <v>0.05019938555957132</v>
      </c>
      <c r="L22" s="92">
        <f t="shared" si="11"/>
        <v>1.0119383743886297</v>
      </c>
      <c r="M22" s="101">
        <f t="shared" si="1"/>
        <v>7.928484720959201</v>
      </c>
      <c r="N22" s="101">
        <f t="shared" si="2"/>
        <v>1.7134382590573598</v>
      </c>
      <c r="O22" s="98">
        <f t="shared" si="3"/>
        <v>0.32196695525279895</v>
      </c>
      <c r="P22" s="104">
        <f t="shared" si="4"/>
        <v>48.615293083304095</v>
      </c>
      <c r="Q22" s="107">
        <f t="shared" si="5"/>
        <v>2.4425098769819202</v>
      </c>
      <c r="R22" s="110">
        <f t="shared" si="6"/>
        <v>-2.4425098769819202</v>
      </c>
      <c r="S22" s="104">
        <f t="shared" si="7"/>
        <v>40.31633398879181</v>
      </c>
      <c r="T22" s="107">
        <f t="shared" si="8"/>
        <v>4.417208355547108</v>
      </c>
      <c r="U22" s="110">
        <f t="shared" si="9"/>
        <v>-4.417208355547108</v>
      </c>
      <c r="V22" s="113">
        <f t="shared" si="12"/>
        <v>-1.1186759579763361</v>
      </c>
      <c r="W22" s="110">
        <f t="shared" si="13"/>
        <v>49.987484074526556</v>
      </c>
    </row>
    <row r="23" spans="1:23" ht="18.75" customHeight="1" thickBot="1">
      <c r="A23" s="74">
        <v>19</v>
      </c>
      <c r="B23" s="69" t="s">
        <v>65</v>
      </c>
      <c r="C23" s="70" t="s">
        <v>70</v>
      </c>
      <c r="D23" s="83">
        <f>(Q5-R5)/(D19-1)</f>
        <v>0.034420798706964205</v>
      </c>
      <c r="E23" s="4" t="s">
        <v>1</v>
      </c>
      <c r="I23" s="95">
        <v>19</v>
      </c>
      <c r="J23" s="92">
        <f t="shared" si="10"/>
        <v>97.1975317351689</v>
      </c>
      <c r="K23" s="98">
        <f t="shared" si="0"/>
        <v>0.05110897176080392</v>
      </c>
      <c r="L23" s="92">
        <f t="shared" si="11"/>
        <v>0.9995976625058415</v>
      </c>
      <c r="M23" s="101">
        <f t="shared" si="1"/>
        <v>7.924524143830627</v>
      </c>
      <c r="N23" s="101">
        <f t="shared" si="2"/>
        <v>1.673473097601306</v>
      </c>
      <c r="O23" s="98">
        <f t="shared" si="3"/>
        <v>0.317805372076417</v>
      </c>
      <c r="P23" s="104">
        <f t="shared" si="4"/>
        <v>48.53530660891592</v>
      </c>
      <c r="Q23" s="107">
        <f t="shared" si="5"/>
        <v>2.4827517457076587</v>
      </c>
      <c r="R23" s="110">
        <f t="shared" si="6"/>
        <v>-2.4827517457076587</v>
      </c>
      <c r="S23" s="104">
        <f t="shared" si="7"/>
        <v>40.25311409021207</v>
      </c>
      <c r="T23" s="107">
        <f t="shared" si="8"/>
        <v>4.4330219832656335</v>
      </c>
      <c r="U23" s="110">
        <f t="shared" si="9"/>
        <v>-4.4330219832656335</v>
      </c>
      <c r="V23" s="113">
        <f t="shared" si="12"/>
        <v>-1.0842551592693719</v>
      </c>
      <c r="W23" s="110">
        <f t="shared" si="13"/>
        <v>49.98824252511382</v>
      </c>
    </row>
    <row r="24" spans="1:23" ht="18.75" customHeight="1">
      <c r="A24" s="3">
        <v>20</v>
      </c>
      <c r="B24" s="119" t="s">
        <v>62</v>
      </c>
      <c r="C24" s="1" t="s">
        <v>22</v>
      </c>
      <c r="D24" s="46">
        <f>(PI()/2+2*D10*TAN(D3/180*PI()))/D9+TAN(D13/180*PI())-D13/180*PI()</f>
        <v>0.10217084646705293</v>
      </c>
      <c r="E24" s="67" t="s">
        <v>45</v>
      </c>
      <c r="I24" s="95">
        <v>20</v>
      </c>
      <c r="J24" s="92">
        <f t="shared" si="10"/>
        <v>97.04183905378939</v>
      </c>
      <c r="K24" s="98">
        <f t="shared" si="0"/>
        <v>0.052014028144933444</v>
      </c>
      <c r="L24" s="92">
        <f t="shared" si="11"/>
        <v>0.9872569506230533</v>
      </c>
      <c r="M24" s="101">
        <f t="shared" si="1"/>
        <v>7.920594853948425</v>
      </c>
      <c r="N24" s="101">
        <f t="shared" si="2"/>
        <v>1.6348706535277258</v>
      </c>
      <c r="O24" s="98">
        <f t="shared" si="3"/>
        <v>0.31380061126538106</v>
      </c>
      <c r="P24" s="104">
        <f t="shared" si="4"/>
        <v>48.45529864123209</v>
      </c>
      <c r="Q24" s="107">
        <f t="shared" si="5"/>
        <v>2.522630635745554</v>
      </c>
      <c r="R24" s="110">
        <f t="shared" si="6"/>
        <v>-2.522630635745554</v>
      </c>
      <c r="S24" s="104">
        <f t="shared" si="7"/>
        <v>40.19227916817815</v>
      </c>
      <c r="T24" s="107">
        <f t="shared" si="8"/>
        <v>4.449305296475325</v>
      </c>
      <c r="U24" s="110">
        <f t="shared" si="9"/>
        <v>-4.449305296475325</v>
      </c>
      <c r="V24" s="113">
        <f t="shared" si="12"/>
        <v>-1.0498343605624076</v>
      </c>
      <c r="W24" s="110">
        <f t="shared" si="13"/>
        <v>49.98897726314655</v>
      </c>
    </row>
    <row r="25" spans="1:23" ht="18.75" customHeight="1">
      <c r="A25" s="73">
        <v>21</v>
      </c>
      <c r="B25" s="120"/>
      <c r="C25" s="41" t="s">
        <v>68</v>
      </c>
      <c r="D25" s="82">
        <f>1-D6*SIN(D13/180*PI())-D10</f>
        <v>0.8700323455362459</v>
      </c>
      <c r="E25" s="68" t="s">
        <v>0</v>
      </c>
      <c r="I25" s="95">
        <v>21</v>
      </c>
      <c r="J25" s="92">
        <f t="shared" si="10"/>
        <v>96.88614637240988</v>
      </c>
      <c r="K25" s="98">
        <f t="shared" si="0"/>
        <v>0.052914509922028896</v>
      </c>
      <c r="L25" s="92">
        <f t="shared" si="11"/>
        <v>0.9749162387402651</v>
      </c>
      <c r="M25" s="101">
        <f t="shared" si="1"/>
        <v>7.9166974497090115</v>
      </c>
      <c r="N25" s="101">
        <f t="shared" si="2"/>
        <v>1.5975426333638763</v>
      </c>
      <c r="O25" s="98">
        <f t="shared" si="3"/>
        <v>0.3099428191222576</v>
      </c>
      <c r="P25" s="104">
        <f t="shared" si="4"/>
        <v>48.37527002984484</v>
      </c>
      <c r="Q25" s="107">
        <f t="shared" si="5"/>
        <v>2.5621454415398395</v>
      </c>
      <c r="R25" s="110">
        <f t="shared" si="6"/>
        <v>-2.5621454415398395</v>
      </c>
      <c r="S25" s="104">
        <f t="shared" si="7"/>
        <v>40.13366004359491</v>
      </c>
      <c r="T25" s="107">
        <f t="shared" si="8"/>
        <v>4.466022379731483</v>
      </c>
      <c r="U25" s="110">
        <f t="shared" si="9"/>
        <v>-4.466022379731483</v>
      </c>
      <c r="V25" s="113">
        <f t="shared" si="12"/>
        <v>-1.0154135618554434</v>
      </c>
      <c r="W25" s="110">
        <f t="shared" si="13"/>
        <v>49.989688289670305</v>
      </c>
    </row>
    <row r="26" spans="1:23" ht="18.75" customHeight="1" thickBot="1">
      <c r="A26" s="74">
        <v>22</v>
      </c>
      <c r="B26" s="121"/>
      <c r="C26" s="70" t="s">
        <v>69</v>
      </c>
      <c r="D26" s="83">
        <f>PI()/(4*COS(D8/180*PI()))+D6*COS(D13/180*PI())+TAN(D13/180*PI())</f>
        <v>1.5064515935622957</v>
      </c>
      <c r="E26" s="75" t="s">
        <v>0</v>
      </c>
      <c r="I26" s="95">
        <v>22</v>
      </c>
      <c r="J26" s="92">
        <f t="shared" si="10"/>
        <v>96.73045369103038</v>
      </c>
      <c r="K26" s="98">
        <f t="shared" si="0"/>
        <v>0.05381037147360185</v>
      </c>
      <c r="L26" s="92">
        <f t="shared" si="11"/>
        <v>0.9625755268574769</v>
      </c>
      <c r="M26" s="101">
        <f t="shared" si="1"/>
        <v>7.912832524652899</v>
      </c>
      <c r="N26" s="101">
        <f t="shared" si="2"/>
        <v>1.5614079206491904</v>
      </c>
      <c r="O26" s="98">
        <f t="shared" si="3"/>
        <v>0.30622293857821387</v>
      </c>
      <c r="P26" s="104">
        <f t="shared" si="4"/>
        <v>48.29522162668287</v>
      </c>
      <c r="Q26" s="107">
        <f t="shared" si="5"/>
        <v>2.601295032810844</v>
      </c>
      <c r="R26" s="110">
        <f t="shared" si="6"/>
        <v>-2.601295032810844</v>
      </c>
      <c r="S26" s="104">
        <f t="shared" si="7"/>
        <v>40.077104023510735</v>
      </c>
      <c r="T26" s="107">
        <f t="shared" si="8"/>
        <v>4.483142261346339</v>
      </c>
      <c r="U26" s="110">
        <f t="shared" si="9"/>
        <v>-4.483142261346339</v>
      </c>
      <c r="V26" s="113">
        <f t="shared" si="12"/>
        <v>-0.9809927631484792</v>
      </c>
      <c r="W26" s="110">
        <f t="shared" si="13"/>
        <v>49.99037560569685</v>
      </c>
    </row>
    <row r="27" spans="9:23" ht="12.75">
      <c r="I27" s="95">
        <v>23</v>
      </c>
      <c r="J27" s="92">
        <f t="shared" si="10"/>
        <v>96.57476100965087</v>
      </c>
      <c r="K27" s="98">
        <f t="shared" si="0"/>
        <v>0.054701566327348294</v>
      </c>
      <c r="L27" s="92">
        <f t="shared" si="11"/>
        <v>0.9502348149746888</v>
      </c>
      <c r="M27" s="101">
        <f t="shared" si="1"/>
        <v>7.909000667374304</v>
      </c>
      <c r="N27" s="101">
        <f t="shared" si="2"/>
        <v>1.5263918624842376</v>
      </c>
      <c r="O27" s="98">
        <f t="shared" si="3"/>
        <v>0.30263262992740064</v>
      </c>
      <c r="P27" s="104">
        <f t="shared" si="4"/>
        <v>48.215154286099356</v>
      </c>
      <c r="Q27" s="107">
        <f t="shared" si="5"/>
        <v>2.6400782536566423</v>
      </c>
      <c r="R27" s="110">
        <f t="shared" si="6"/>
        <v>-2.6400782536566423</v>
      </c>
      <c r="S27" s="104">
        <f t="shared" si="7"/>
        <v>40.02247303507342</v>
      </c>
      <c r="T27" s="107">
        <f t="shared" si="8"/>
        <v>4.500638178797899</v>
      </c>
      <c r="U27" s="110">
        <f t="shared" si="9"/>
        <v>-4.500638178797899</v>
      </c>
      <c r="V27" s="113">
        <f t="shared" si="12"/>
        <v>-0.9465719644415149</v>
      </c>
      <c r="W27" s="110">
        <f t="shared" si="13"/>
        <v>49.99103921220416</v>
      </c>
    </row>
    <row r="28" spans="9:23" ht="12.75">
      <c r="I28" s="95">
        <v>24</v>
      </c>
      <c r="J28" s="92">
        <f t="shared" si="10"/>
        <v>96.41906832827136</v>
      </c>
      <c r="K28" s="98">
        <f t="shared" si="0"/>
        <v>0.055588047130777196</v>
      </c>
      <c r="L28" s="92">
        <f t="shared" si="11"/>
        <v>0.9378941030919006</v>
      </c>
      <c r="M28" s="101">
        <f t="shared" si="1"/>
        <v>7.9052024614315135</v>
      </c>
      <c r="N28" s="101">
        <f t="shared" si="2"/>
        <v>1.4924256395222057</v>
      </c>
      <c r="O28" s="98">
        <f t="shared" si="3"/>
        <v>0.2991642008328498</v>
      </c>
      <c r="P28" s="104">
        <f t="shared" si="4"/>
        <v>48.13506886496422</v>
      </c>
      <c r="Q28" s="107">
        <f t="shared" si="5"/>
        <v>2.6784939216129606</v>
      </c>
      <c r="R28" s="110">
        <f t="shared" si="6"/>
        <v>-2.6784939216129606</v>
      </c>
      <c r="S28" s="104">
        <f t="shared" si="7"/>
        <v>39.96964200154612</v>
      </c>
      <c r="T28" s="107">
        <f t="shared" si="8"/>
        <v>4.518486960409778</v>
      </c>
      <c r="U28" s="110">
        <f t="shared" si="9"/>
        <v>-4.518486960409778</v>
      </c>
      <c r="V28" s="113">
        <f t="shared" si="12"/>
        <v>-0.9121511657345507</v>
      </c>
      <c r="W28" s="110">
        <f t="shared" si="13"/>
        <v>49.99167911013641</v>
      </c>
    </row>
    <row r="29" spans="9:23" ht="12.75">
      <c r="I29" s="95">
        <v>25</v>
      </c>
      <c r="J29" s="92">
        <f t="shared" si="10"/>
        <v>96.26337564689186</v>
      </c>
      <c r="K29" s="98">
        <f t="shared" si="0"/>
        <v>0.056469765623661405</v>
      </c>
      <c r="L29" s="92">
        <f t="shared" si="11"/>
        <v>0.9255533912091124</v>
      </c>
      <c r="M29" s="101">
        <f t="shared" si="1"/>
        <v>7.901438485258008</v>
      </c>
      <c r="N29" s="101">
        <f t="shared" si="2"/>
        <v>1.4594457082309997</v>
      </c>
      <c r="O29" s="98">
        <f t="shared" si="3"/>
        <v>0.2958105443625622</v>
      </c>
      <c r="P29" s="104">
        <f t="shared" si="4"/>
        <v>48.05496622276093</v>
      </c>
      <c r="Q29" s="107">
        <f t="shared" si="5"/>
        <v>2.71654082666889</v>
      </c>
      <c r="R29" s="110">
        <f t="shared" si="6"/>
        <v>-2.71654082666889</v>
      </c>
      <c r="S29" s="104">
        <f t="shared" si="7"/>
        <v>39.918497425128294</v>
      </c>
      <c r="T29" s="107">
        <f t="shared" si="8"/>
        <v>4.536668503404432</v>
      </c>
      <c r="U29" s="110">
        <f t="shared" si="9"/>
        <v>-4.536668503404432</v>
      </c>
      <c r="V29" s="113">
        <f t="shared" si="12"/>
        <v>-0.8777303670275864</v>
      </c>
      <c r="W29" s="110">
        <f t="shared" si="13"/>
        <v>49.99229530040402</v>
      </c>
    </row>
    <row r="30" spans="9:23" ht="12.75">
      <c r="I30" s="95">
        <v>26</v>
      </c>
      <c r="J30" s="92">
        <f t="shared" si="10"/>
        <v>96.10768296551235</v>
      </c>
      <c r="K30" s="98">
        <f t="shared" si="0"/>
        <v>0.057346672609241034</v>
      </c>
      <c r="L30" s="92">
        <f t="shared" si="11"/>
        <v>0.9132126793263242</v>
      </c>
      <c r="M30" s="101">
        <f t="shared" si="1"/>
        <v>7.897709312074375</v>
      </c>
      <c r="N30" s="101">
        <f t="shared" si="2"/>
        <v>1.4273933059312855</v>
      </c>
      <c r="O30" s="98">
        <f t="shared" si="3"/>
        <v>0.29256508400082293</v>
      </c>
      <c r="P30" s="104">
        <f t="shared" si="4"/>
        <v>47.974847221688094</v>
      </c>
      <c r="Q30" s="107">
        <f t="shared" si="5"/>
        <v>2.75421773023567</v>
      </c>
      <c r="R30" s="110">
        <f t="shared" si="6"/>
        <v>-2.75421773023567</v>
      </c>
      <c r="S30" s="104">
        <f t="shared" si="7"/>
        <v>39.86893614699621</v>
      </c>
      <c r="T30" s="107">
        <f t="shared" si="8"/>
        <v>4.555165332107335</v>
      </c>
      <c r="U30" s="110">
        <f t="shared" si="9"/>
        <v>-4.555165332107335</v>
      </c>
      <c r="V30" s="113">
        <f t="shared" si="12"/>
        <v>-0.8433095683206222</v>
      </c>
      <c r="W30" s="110">
        <f t="shared" si="13"/>
        <v>49.99288778388361</v>
      </c>
    </row>
    <row r="31" spans="9:23" ht="12.75">
      <c r="I31" s="95">
        <v>27</v>
      </c>
      <c r="J31" s="92">
        <f t="shared" si="10"/>
        <v>95.95199028413285</v>
      </c>
      <c r="K31" s="98">
        <f t="shared" si="0"/>
        <v>0.05821871792410621</v>
      </c>
      <c r="L31" s="92">
        <f t="shared" si="11"/>
        <v>0.900871967443536</v>
      </c>
      <c r="M31" s="101">
        <f t="shared" si="1"/>
        <v>7.894015509801012</v>
      </c>
      <c r="N31" s="101">
        <f t="shared" si="2"/>
        <v>1.396214010515024</v>
      </c>
      <c r="O31" s="98">
        <f t="shared" si="3"/>
        <v>0.28942172473524563</v>
      </c>
      <c r="P31" s="104">
        <f t="shared" si="4"/>
        <v>47.89471272676616</v>
      </c>
      <c r="Q31" s="107">
        <f t="shared" si="5"/>
        <v>2.791523364065752</v>
      </c>
      <c r="R31" s="110">
        <f t="shared" si="6"/>
        <v>-2.791523364065752</v>
      </c>
      <c r="S31" s="104">
        <f t="shared" si="7"/>
        <v>39.82086425965372</v>
      </c>
      <c r="T31" s="107">
        <f t="shared" si="8"/>
        <v>4.573962223025783</v>
      </c>
      <c r="U31" s="110">
        <f t="shared" si="9"/>
        <v>-4.573962223025783</v>
      </c>
      <c r="V31" s="113">
        <f t="shared" si="12"/>
        <v>-0.808888769613658</v>
      </c>
      <c r="W31" s="110">
        <f t="shared" si="13"/>
        <v>49.99345656141804</v>
      </c>
    </row>
    <row r="32" spans="9:23" ht="12.75">
      <c r="I32" s="95">
        <v>28</v>
      </c>
      <c r="J32" s="92">
        <f t="shared" si="10"/>
        <v>95.79629760275334</v>
      </c>
      <c r="K32" s="98">
        <f t="shared" si="0"/>
        <v>0.0590858504066763</v>
      </c>
      <c r="L32" s="92">
        <f t="shared" si="11"/>
        <v>0.8885312555607479</v>
      </c>
      <c r="M32" s="101">
        <f t="shared" si="1"/>
        <v>7.890357640971636</v>
      </c>
      <c r="N32" s="101">
        <f t="shared" si="2"/>
        <v>1.365857347920441</v>
      </c>
      <c r="O32" s="98">
        <f t="shared" si="3"/>
        <v>0.2863748094502077</v>
      </c>
      <c r="P32" s="104">
        <f t="shared" si="4"/>
        <v>47.81456360594957</v>
      </c>
      <c r="Q32" s="107">
        <f t="shared" si="5"/>
        <v>2.8284564291189014</v>
      </c>
      <c r="R32" s="110">
        <f t="shared" si="6"/>
        <v>-2.8284564291189014</v>
      </c>
      <c r="S32" s="104">
        <f t="shared" si="7"/>
        <v>39.77419615055381</v>
      </c>
      <c r="T32" s="107">
        <f t="shared" si="8"/>
        <v>4.59304588589789</v>
      </c>
      <c r="U32" s="110">
        <f t="shared" si="9"/>
        <v>-4.59304588589789</v>
      </c>
      <c r="V32" s="113">
        <f t="shared" si="12"/>
        <v>-0.7744679709066937</v>
      </c>
      <c r="W32" s="110">
        <f t="shared" si="13"/>
        <v>49.994001633816424</v>
      </c>
    </row>
    <row r="33" spans="9:23" ht="12.75">
      <c r="I33" s="95">
        <v>29</v>
      </c>
      <c r="J33" s="92">
        <f t="shared" si="10"/>
        <v>95.64060492137384</v>
      </c>
      <c r="K33" s="98">
        <f t="shared" si="0"/>
        <v>0.05994801786419307</v>
      </c>
      <c r="L33" s="92">
        <f t="shared" si="11"/>
        <v>0.8761905436779597</v>
      </c>
      <c r="M33" s="101">
        <f t="shared" si="1"/>
        <v>7.8867362626476165</v>
      </c>
      <c r="N33" s="101">
        <f t="shared" si="2"/>
        <v>1.3362764414234936</v>
      </c>
      <c r="O33" s="98">
        <f t="shared" si="3"/>
        <v>0.2834190799666802</v>
      </c>
      <c r="P33" s="104">
        <f t="shared" si="4"/>
        <v>47.73440073024468</v>
      </c>
      <c r="Q33" s="107">
        <f t="shared" si="5"/>
        <v>2.8650155943721667</v>
      </c>
      <c r="R33" s="110">
        <f t="shared" si="6"/>
        <v>-2.8650155943721667</v>
      </c>
      <c r="S33" s="104">
        <f t="shared" si="7"/>
        <v>39.72885365916527</v>
      </c>
      <c r="T33" s="107">
        <f t="shared" si="8"/>
        <v>4.612404691724108</v>
      </c>
      <c r="U33" s="110">
        <f t="shared" si="9"/>
        <v>-4.612404691724108</v>
      </c>
      <c r="V33" s="113">
        <f t="shared" si="12"/>
        <v>-0.7400471721997295</v>
      </c>
      <c r="W33" s="110">
        <f t="shared" si="13"/>
        <v>49.994523001854105</v>
      </c>
    </row>
    <row r="34" spans="9:23" ht="12.75">
      <c r="I34" s="95">
        <v>30</v>
      </c>
      <c r="J34" s="92">
        <f t="shared" si="10"/>
        <v>95.48491223999433</v>
      </c>
      <c r="K34" s="98">
        <f t="shared" si="0"/>
        <v>0.060805167038132824</v>
      </c>
      <c r="L34" s="92">
        <f t="shared" si="11"/>
        <v>0.8638498317951715</v>
      </c>
      <c r="M34" s="101">
        <f t="shared" si="1"/>
        <v>7.883151926333138</v>
      </c>
      <c r="N34" s="101">
        <f t="shared" si="2"/>
        <v>1.3074276976353858</v>
      </c>
      <c r="O34" s="98">
        <f t="shared" si="3"/>
        <v>0.28054964216062483</v>
      </c>
      <c r="P34" s="104">
        <f t="shared" si="4"/>
        <v>47.654224973833735</v>
      </c>
      <c r="Q34" s="107">
        <f t="shared" si="5"/>
        <v>2.9011994955700118</v>
      </c>
      <c r="R34" s="110">
        <f t="shared" si="6"/>
        <v>-2.9011994955700118</v>
      </c>
      <c r="S34" s="104">
        <f t="shared" si="7"/>
        <v>39.684765332336916</v>
      </c>
      <c r="T34" s="107">
        <f t="shared" si="8"/>
        <v>4.632028440348913</v>
      </c>
      <c r="U34" s="110">
        <f t="shared" si="9"/>
        <v>-4.632028440348913</v>
      </c>
      <c r="V34" s="113">
        <f t="shared" si="12"/>
        <v>-0.7056263734927652</v>
      </c>
      <c r="W34" s="110">
        <f t="shared" si="13"/>
        <v>49.99502066627267</v>
      </c>
    </row>
    <row r="35" spans="9:23" ht="12.75">
      <c r="I35" s="95">
        <v>31</v>
      </c>
      <c r="J35" s="92">
        <f t="shared" si="10"/>
        <v>95.32921955861482</v>
      </c>
      <c r="K35" s="98">
        <f t="shared" si="0"/>
        <v>0.06165724356793828</v>
      </c>
      <c r="L35" s="92">
        <f t="shared" si="11"/>
        <v>0.8515091199123833</v>
      </c>
      <c r="M35" s="101">
        <f t="shared" si="1"/>
        <v>7.879605177891211</v>
      </c>
      <c r="N35" s="101">
        <f t="shared" si="2"/>
        <v>1.2792705247970981</v>
      </c>
      <c r="O35" s="98">
        <f t="shared" si="3"/>
        <v>0.27776193467006377</v>
      </c>
      <c r="P35" s="104">
        <f t="shared" si="4"/>
        <v>47.574037214205504</v>
      </c>
      <c r="Q35" s="107">
        <f t="shared" si="5"/>
        <v>2.937006733910765</v>
      </c>
      <c r="R35" s="110">
        <f t="shared" si="6"/>
        <v>-2.937006733910765</v>
      </c>
      <c r="S35" s="104">
        <f t="shared" si="7"/>
        <v>39.64186576505031</v>
      </c>
      <c r="T35" s="107">
        <f t="shared" si="8"/>
        <v>4.651908161426608</v>
      </c>
      <c r="U35" s="110">
        <f t="shared" si="9"/>
        <v>-4.651908161426608</v>
      </c>
      <c r="V35" s="113">
        <f t="shared" si="12"/>
        <v>-0.671205574785801</v>
      </c>
      <c r="W35" s="110">
        <f t="shared" si="13"/>
        <v>49.995494627779976</v>
      </c>
    </row>
    <row r="36" spans="9:23" ht="12.75">
      <c r="I36" s="95">
        <v>32</v>
      </c>
      <c r="J36" s="92">
        <f t="shared" si="10"/>
        <v>95.17352687723532</v>
      </c>
      <c r="K36" s="98">
        <f t="shared" si="0"/>
        <v>0.06250419195296258</v>
      </c>
      <c r="L36" s="92">
        <f t="shared" si="11"/>
        <v>0.8391684080295951</v>
      </c>
      <c r="M36" s="101">
        <f t="shared" si="1"/>
        <v>7.876096557460544</v>
      </c>
      <c r="N36" s="101">
        <f t="shared" si="2"/>
        <v>1.2517670795568265</v>
      </c>
      <c r="O36" s="98">
        <f t="shared" si="3"/>
        <v>0.27505170076703184</v>
      </c>
      <c r="P36" s="104">
        <f t="shared" si="4"/>
        <v>47.49383833229276</v>
      </c>
      <c r="Q36" s="107">
        <f t="shared" si="5"/>
        <v>2.9724358746651944</v>
      </c>
      <c r="R36" s="110">
        <f t="shared" si="6"/>
        <v>-2.9724358746651944</v>
      </c>
      <c r="S36" s="104">
        <f t="shared" si="7"/>
        <v>39.60009501552916</v>
      </c>
      <c r="T36" s="107">
        <f t="shared" si="8"/>
        <v>4.672035943640003</v>
      </c>
      <c r="U36" s="110">
        <f t="shared" si="9"/>
        <v>-4.672035943640003</v>
      </c>
      <c r="V36" s="113">
        <f t="shared" si="12"/>
        <v>-0.6367847760788368</v>
      </c>
      <c r="W36" s="110">
        <f t="shared" si="13"/>
        <v>49.995944887050136</v>
      </c>
    </row>
    <row r="37" spans="9:23" ht="12.75">
      <c r="I37" s="95">
        <v>33</v>
      </c>
      <c r="J37" s="92">
        <f t="shared" si="10"/>
        <v>95.01783419585581</v>
      </c>
      <c r="K37" s="98">
        <f aca="true" t="shared" si="14" ref="K37:K68">ACOS($D$16/J37)-TAN(ACOS($D$16/J37))+$D$24</f>
        <v>0.06334595551250916</v>
      </c>
      <c r="L37" s="92">
        <f t="shared" si="11"/>
        <v>0.826827696146807</v>
      </c>
      <c r="M37" s="101">
        <f aca="true" t="shared" si="15" ref="M37:M68">$D$9/(2*COS($D$8/180*PI()))-$D$25-$D$6*COS(L37)</f>
        <v>7.872626599373282</v>
      </c>
      <c r="N37" s="101">
        <f aca="true" t="shared" si="16" ref="N37:N68">$D$25*TAN(L37)+$D$6*SIN(L37)</f>
        <v>1.22488203892234</v>
      </c>
      <c r="O37" s="98">
        <f aca="true" t="shared" si="17" ref="O37:O68">2*COS($D$8/180*PI())/$D$9*($D$26+$D$25*TAN(L37))</f>
        <v>0.2724149630268552</v>
      </c>
      <c r="P37" s="104">
        <f aca="true" t="shared" si="18" ref="P37:P68">J37/2*COS(K37)</f>
        <v>47.41362921261726</v>
      </c>
      <c r="Q37" s="107">
        <f aca="true" t="shared" si="19" ref="Q37:Q68">P37*TAN(K37)</f>
        <v>3.0074854457226863</v>
      </c>
      <c r="R37" s="110">
        <f aca="true" t="shared" si="20" ref="R37:R68">-Q37</f>
        <v>-3.0074854457226863</v>
      </c>
      <c r="S37" s="104">
        <f aca="true" t="shared" si="21" ref="S37:S68">(M37*COS(O37)+N37*SIN(O37))*$D$7</f>
        <v>39.559398085252134</v>
      </c>
      <c r="T37" s="107">
        <f aca="true" t="shared" si="22" ref="T37:T68">(M37*SIN(O37)-N37*COS(O37))*$D$7</f>
        <v>4.692404787889321</v>
      </c>
      <c r="U37" s="110">
        <f aca="true" t="shared" si="23" ref="U37:U68">-T37</f>
        <v>-4.692404787889321</v>
      </c>
      <c r="V37" s="113">
        <f t="shared" si="12"/>
        <v>-0.6023639773718725</v>
      </c>
      <c r="W37" s="110">
        <f t="shared" si="13"/>
        <v>49.996371444723515</v>
      </c>
    </row>
    <row r="38" spans="9:23" ht="12.75">
      <c r="I38" s="95">
        <v>34</v>
      </c>
      <c r="J38" s="92">
        <f t="shared" si="10"/>
        <v>94.8621415144763</v>
      </c>
      <c r="K38" s="98">
        <f t="shared" si="14"/>
        <v>0.06418247634384183</v>
      </c>
      <c r="L38" s="92">
        <f aca="true" t="shared" si="24" ref="L38:L69">L37-$D$22</f>
        <v>0.8144869842640188</v>
      </c>
      <c r="M38" s="101">
        <f t="shared" si="15"/>
        <v>7.869195832073635</v>
      </c>
      <c r="N38" s="101">
        <f t="shared" si="16"/>
        <v>1.1985823945120513</v>
      </c>
      <c r="O38" s="98">
        <f t="shared" si="17"/>
        <v>0.26984800047517654</v>
      </c>
      <c r="P38" s="104">
        <f t="shared" si="18"/>
        <v>47.33341074344259</v>
      </c>
      <c r="Q38" s="107">
        <f t="shared" si="19"/>
        <v>3.0421539360601244</v>
      </c>
      <c r="R38" s="110">
        <f t="shared" si="20"/>
        <v>-3.0421539360601244</v>
      </c>
      <c r="S38" s="104">
        <f t="shared" si="21"/>
        <v>39.519724455748204</v>
      </c>
      <c r="T38" s="107">
        <f t="shared" si="22"/>
        <v>4.713008480866573</v>
      </c>
      <c r="U38" s="110">
        <f t="shared" si="23"/>
        <v>-4.713008480866573</v>
      </c>
      <c r="V38" s="113">
        <f aca="true" t="shared" si="25" ref="V38:V69">V37+$D$23</f>
        <v>-0.5679431786649083</v>
      </c>
      <c r="W38" s="110">
        <f t="shared" si="13"/>
        <v>49.99677430140677</v>
      </c>
    </row>
    <row r="39" spans="9:23" ht="12.75">
      <c r="I39" s="95">
        <v>35</v>
      </c>
      <c r="J39" s="92">
        <f t="shared" si="10"/>
        <v>94.7064488330968</v>
      </c>
      <c r="K39" s="98">
        <f t="shared" si="14"/>
        <v>0.06501369527802897</v>
      </c>
      <c r="L39" s="92">
        <f t="shared" si="24"/>
        <v>0.8021462723812306</v>
      </c>
      <c r="M39" s="101">
        <f t="shared" si="15"/>
        <v>7.8658047780374</v>
      </c>
      <c r="N39" s="101">
        <f t="shared" si="16"/>
        <v>1.1728372665979887</v>
      </c>
      <c r="O39" s="98">
        <f t="shared" si="17"/>
        <v>0.2673473279341927</v>
      </c>
      <c r="P39" s="104">
        <f t="shared" si="18"/>
        <v>47.253183816935554</v>
      </c>
      <c r="Q39" s="107">
        <f t="shared" si="19"/>
        <v>3.07643979412816</v>
      </c>
      <c r="R39" s="110">
        <f t="shared" si="20"/>
        <v>-3.07643979412816</v>
      </c>
      <c r="S39" s="104">
        <f t="shared" si="21"/>
        <v>39.481027675179455</v>
      </c>
      <c r="T39" s="107">
        <f t="shared" si="22"/>
        <v>4.733841486006838</v>
      </c>
      <c r="U39" s="110">
        <f t="shared" si="23"/>
        <v>-4.733841486006838</v>
      </c>
      <c r="V39" s="113">
        <f t="shared" si="25"/>
        <v>-0.533522379957944</v>
      </c>
      <c r="W39" s="110">
        <f t="shared" si="13"/>
        <v>49.99715345767281</v>
      </c>
    </row>
    <row r="40" spans="9:23" ht="12.75">
      <c r="I40" s="95">
        <v>36</v>
      </c>
      <c r="J40" s="92">
        <f t="shared" si="10"/>
        <v>94.5507561517173</v>
      </c>
      <c r="K40" s="98">
        <f t="shared" si="14"/>
        <v>0.06583955183347429</v>
      </c>
      <c r="L40" s="92">
        <f t="shared" si="24"/>
        <v>0.7898055604984424</v>
      </c>
      <c r="M40" s="101">
        <f t="shared" si="15"/>
        <v>7.8624539536923885</v>
      </c>
      <c r="N40" s="101">
        <f t="shared" si="16"/>
        <v>1.1476177357507276</v>
      </c>
      <c r="O40" s="98">
        <f t="shared" si="17"/>
        <v>0.2649096773247735</v>
      </c>
      <c r="P40" s="104">
        <f t="shared" si="18"/>
        <v>47.17294932933659</v>
      </c>
      <c r="Q40" s="107">
        <f t="shared" si="19"/>
        <v>3.110341426149109</v>
      </c>
      <c r="R40" s="110">
        <f t="shared" si="20"/>
        <v>-3.110341426149109</v>
      </c>
      <c r="S40" s="104">
        <f t="shared" si="21"/>
        <v>39.443264988672546</v>
      </c>
      <c r="T40" s="107">
        <f t="shared" si="22"/>
        <v>4.754898849284417</v>
      </c>
      <c r="U40" s="110">
        <f t="shared" si="23"/>
        <v>-4.754898849284417</v>
      </c>
      <c r="V40" s="113">
        <f t="shared" si="25"/>
        <v>-0.49910158125097986</v>
      </c>
      <c r="W40" s="110">
        <f t="shared" si="13"/>
        <v>49.99750891406084</v>
      </c>
    </row>
    <row r="41" spans="9:23" ht="12.75">
      <c r="I41" s="95">
        <v>37</v>
      </c>
      <c r="J41" s="92">
        <f t="shared" si="10"/>
        <v>94.39506347033779</v>
      </c>
      <c r="K41" s="98">
        <f t="shared" si="14"/>
        <v>0.06665998416697339</v>
      </c>
      <c r="L41" s="92">
        <f t="shared" si="24"/>
        <v>0.7774648486156542</v>
      </c>
      <c r="M41" s="101">
        <f t="shared" si="15"/>
        <v>7.859143869339786</v>
      </c>
      <c r="N41" s="101">
        <f t="shared" si="16"/>
        <v>1.122896690168826</v>
      </c>
      <c r="O41" s="98">
        <f t="shared" si="17"/>
        <v>0.26253198071141337</v>
      </c>
      <c r="P41" s="104">
        <f t="shared" si="18"/>
        <v>47.09270818113985</v>
      </c>
      <c r="Q41" s="107">
        <f t="shared" si="19"/>
        <v>3.143857194320168</v>
      </c>
      <c r="R41" s="110">
        <f t="shared" si="20"/>
        <v>-3.143857194320168</v>
      </c>
      <c r="S41" s="104">
        <f t="shared" si="21"/>
        <v>39.40639700717222</v>
      </c>
      <c r="T41" s="107">
        <f t="shared" si="22"/>
        <v>4.776176117717979</v>
      </c>
      <c r="U41" s="110">
        <f t="shared" si="23"/>
        <v>-4.776176117717979</v>
      </c>
      <c r="V41" s="113">
        <f t="shared" si="25"/>
        <v>-0.4646807825440157</v>
      </c>
      <c r="W41" s="110">
        <f t="shared" si="13"/>
        <v>49.99784067107633</v>
      </c>
    </row>
    <row r="42" spans="9:23" ht="12.75">
      <c r="I42" s="95">
        <v>38</v>
      </c>
      <c r="J42" s="92">
        <f t="shared" si="10"/>
        <v>94.23937078895828</v>
      </c>
      <c r="K42" s="98">
        <f t="shared" si="14"/>
        <v>0.06747492902212499</v>
      </c>
      <c r="L42" s="92">
        <f t="shared" si="24"/>
        <v>0.7651241367328661</v>
      </c>
      <c r="M42" s="101">
        <f t="shared" si="15"/>
        <v>7.855875029076435</v>
      </c>
      <c r="N42" s="101">
        <f t="shared" si="16"/>
        <v>1.0986486870102532</v>
      </c>
      <c r="O42" s="98">
        <f t="shared" si="17"/>
        <v>0.26021135490306596</v>
      </c>
      <c r="P42" s="104">
        <f t="shared" si="18"/>
        <v>47.012461277283776</v>
      </c>
      <c r="Q42" s="107">
        <f t="shared" si="19"/>
        <v>3.1769854149152867</v>
      </c>
      <c r="R42" s="110">
        <f t="shared" si="20"/>
        <v>-3.1769854149152867</v>
      </c>
      <c r="S42" s="104">
        <f t="shared" si="21"/>
        <v>39.37038741028368</v>
      </c>
      <c r="T42" s="107">
        <f t="shared" si="22"/>
        <v>4.797669268778005</v>
      </c>
      <c r="U42" s="110">
        <f t="shared" si="23"/>
        <v>-4.797669268778005</v>
      </c>
      <c r="V42" s="113">
        <f t="shared" si="25"/>
        <v>-0.4302599838370515</v>
      </c>
      <c r="W42" s="110">
        <f t="shared" si="13"/>
        <v>49.99814872919105</v>
      </c>
    </row>
    <row r="43" spans="9:23" ht="12.75">
      <c r="I43" s="95">
        <v>39</v>
      </c>
      <c r="J43" s="92">
        <f t="shared" si="10"/>
        <v>94.08367810757878</v>
      </c>
      <c r="K43" s="98">
        <f t="shared" si="14"/>
        <v>0.06828432167490428</v>
      </c>
      <c r="L43" s="92">
        <f t="shared" si="24"/>
        <v>0.7527834248500779</v>
      </c>
      <c r="M43" s="101">
        <f t="shared" si="15"/>
        <v>7.85264793071806</v>
      </c>
      <c r="N43" s="101">
        <f t="shared" si="16"/>
        <v>1.0748498262463222</v>
      </c>
      <c r="O43" s="98">
        <f t="shared" si="17"/>
        <v>0.2579450874454749</v>
      </c>
      <c r="P43" s="104">
        <f t="shared" si="18"/>
        <v>46.93220952735275</v>
      </c>
      <c r="Q43" s="107">
        <f t="shared" si="19"/>
        <v>3.209724356278094</v>
      </c>
      <c r="R43" s="110">
        <f t="shared" si="20"/>
        <v>-3.209724356278094</v>
      </c>
      <c r="S43" s="104">
        <f t="shared" si="21"/>
        <v>39.33520267916251</v>
      </c>
      <c r="T43" s="107">
        <f t="shared" si="22"/>
        <v>4.81937464916522</v>
      </c>
      <c r="U43" s="110">
        <f t="shared" si="23"/>
        <v>-4.81937464916522</v>
      </c>
      <c r="V43" s="113">
        <f t="shared" si="25"/>
        <v>-0.3958391851300873</v>
      </c>
      <c r="W43" s="110">
        <f t="shared" si="13"/>
        <v>49.99843308884305</v>
      </c>
    </row>
    <row r="44" spans="9:23" ht="12.75">
      <c r="I44" s="95">
        <v>40</v>
      </c>
      <c r="J44" s="92">
        <f t="shared" si="10"/>
        <v>93.92798542619927</v>
      </c>
      <c r="K44" s="98">
        <f t="shared" si="14"/>
        <v>0.06908809587619535</v>
      </c>
      <c r="L44" s="92">
        <f t="shared" si="24"/>
        <v>0.7404427129672897</v>
      </c>
      <c r="M44" s="101">
        <f t="shared" si="15"/>
        <v>7.849463065723463</v>
      </c>
      <c r="N44" s="101">
        <f t="shared" si="16"/>
        <v>1.0514776357345261</v>
      </c>
      <c r="O44" s="98">
        <f t="shared" si="17"/>
        <v>0.2557306238601533</v>
      </c>
      <c r="P44" s="104">
        <f t="shared" si="18"/>
        <v>46.85195384579077</v>
      </c>
      <c r="Q44" s="107">
        <f t="shared" si="19"/>
        <v>3.242072236697945</v>
      </c>
      <c r="R44" s="110">
        <f t="shared" si="20"/>
        <v>-3.242072236697945</v>
      </c>
      <c r="S44" s="104">
        <f t="shared" si="21"/>
        <v>39.30081185601884</v>
      </c>
      <c r="T44" s="107">
        <f t="shared" si="22"/>
        <v>4.8412889216587285</v>
      </c>
      <c r="U44" s="110">
        <f t="shared" si="23"/>
        <v>-4.8412889216587285</v>
      </c>
      <c r="V44" s="113">
        <f t="shared" si="25"/>
        <v>-0.36141838642312313</v>
      </c>
      <c r="W44" s="110">
        <f t="shared" si="13"/>
        <v>49.99869375043667</v>
      </c>
    </row>
    <row r="45" spans="9:23" ht="12.75">
      <c r="I45" s="95">
        <v>41</v>
      </c>
      <c r="J45" s="92">
        <f t="shared" si="10"/>
        <v>93.77229274481977</v>
      </c>
      <c r="K45" s="98">
        <f t="shared" si="14"/>
        <v>0.0698861837910566</v>
      </c>
      <c r="L45" s="92">
        <f t="shared" si="24"/>
        <v>0.7281020010845015</v>
      </c>
      <c r="M45" s="101">
        <f t="shared" si="15"/>
        <v>7.846320919119675</v>
      </c>
      <c r="N45" s="101">
        <f t="shared" si="16"/>
        <v>1.0285109663593537</v>
      </c>
      <c r="O45" s="98">
        <f t="shared" si="17"/>
        <v>0.25356555600213154</v>
      </c>
      <c r="P45" s="104">
        <f t="shared" si="18"/>
        <v>46.771695152128046</v>
      </c>
      <c r="Q45" s="107">
        <f t="shared" si="19"/>
        <v>3.274027222160188</v>
      </c>
      <c r="R45" s="110">
        <f t="shared" si="20"/>
        <v>-3.274027222160188</v>
      </c>
      <c r="S45" s="104">
        <f t="shared" si="21"/>
        <v>39.26718632723819</v>
      </c>
      <c r="T45" s="107">
        <f t="shared" si="22"/>
        <v>4.863409018925914</v>
      </c>
      <c r="U45" s="110">
        <f t="shared" si="23"/>
        <v>-4.863409018925914</v>
      </c>
      <c r="V45" s="113">
        <f t="shared" si="25"/>
        <v>-0.32699758771615894</v>
      </c>
      <c r="W45" s="110">
        <f t="shared" si="13"/>
        <v>49.998930714342556</v>
      </c>
    </row>
    <row r="46" spans="9:23" ht="12.75">
      <c r="I46" s="95">
        <v>42</v>
      </c>
      <c r="J46" s="92">
        <f t="shared" si="10"/>
        <v>93.61660006344026</v>
      </c>
      <c r="K46" s="98">
        <f t="shared" si="14"/>
        <v>0.07067851593447533</v>
      </c>
      <c r="L46" s="92">
        <f t="shared" si="24"/>
        <v>0.7157612892017133</v>
      </c>
      <c r="M46" s="101">
        <f t="shared" si="15"/>
        <v>7.843221969428088</v>
      </c>
      <c r="N46" s="101">
        <f t="shared" si="16"/>
        <v>1.0059298962230314</v>
      </c>
      <c r="O46" s="98">
        <f t="shared" si="17"/>
        <v>0.2514476114233537</v>
      </c>
      <c r="P46" s="104">
        <f t="shared" si="18"/>
        <v>46.69143437122146</v>
      </c>
      <c r="Q46" s="107">
        <f t="shared" si="19"/>
        <v>3.305587423961061</v>
      </c>
      <c r="R46" s="110">
        <f t="shared" si="20"/>
        <v>-3.305587423961061</v>
      </c>
      <c r="S46" s="104">
        <f t="shared" si="21"/>
        <v>39.23429962749655</v>
      </c>
      <c r="T46" s="107">
        <f t="shared" si="22"/>
        <v>4.885732103348642</v>
      </c>
      <c r="U46" s="110">
        <f t="shared" si="23"/>
        <v>-4.885732103348642</v>
      </c>
      <c r="V46" s="113">
        <f t="shared" si="25"/>
        <v>-0.29257678900919476</v>
      </c>
      <c r="W46" s="110">
        <f t="shared" si="13"/>
        <v>49.99914398089764</v>
      </c>
    </row>
    <row r="47" spans="9:23" ht="12.75">
      <c r="I47" s="95">
        <v>43</v>
      </c>
      <c r="J47" s="92">
        <f t="shared" si="10"/>
        <v>93.46090738206075</v>
      </c>
      <c r="K47" s="98">
        <f t="shared" si="14"/>
        <v>0.07146502110334141</v>
      </c>
      <c r="L47" s="92">
        <f t="shared" si="24"/>
        <v>0.7034205773189252</v>
      </c>
      <c r="M47" s="101">
        <f t="shared" si="15"/>
        <v>7.840166688591584</v>
      </c>
      <c r="N47" s="101">
        <f t="shared" si="16"/>
        <v>0.9837156429839705</v>
      </c>
      <c r="O47" s="98">
        <f t="shared" si="17"/>
        <v>0.2493746436414761</v>
      </c>
      <c r="P47" s="104">
        <f t="shared" si="18"/>
        <v>46.611172433509964</v>
      </c>
      <c r="Q47" s="107">
        <f t="shared" si="19"/>
        <v>3.336750896176562</v>
      </c>
      <c r="R47" s="110">
        <f t="shared" si="20"/>
        <v>-3.336750896176562</v>
      </c>
      <c r="S47" s="104">
        <f t="shared" si="21"/>
        <v>39.20212726257135</v>
      </c>
      <c r="T47" s="107">
        <f t="shared" si="22"/>
        <v>4.908255532057368</v>
      </c>
      <c r="U47" s="110">
        <f t="shared" si="23"/>
        <v>-4.908255532057368</v>
      </c>
      <c r="V47" s="113">
        <f t="shared" si="25"/>
        <v>-0.2581559903022306</v>
      </c>
      <c r="W47" s="110">
        <f t="shared" si="13"/>
        <v>49.99933355040516</v>
      </c>
    </row>
    <row r="48" spans="9:23" ht="12.75">
      <c r="I48" s="95">
        <v>44</v>
      </c>
      <c r="J48" s="92">
        <f t="shared" si="10"/>
        <v>93.30521470068125</v>
      </c>
      <c r="K48" s="98">
        <f t="shared" si="14"/>
        <v>0.07224562630434878</v>
      </c>
      <c r="L48" s="92">
        <f t="shared" si="24"/>
        <v>0.691079865436137</v>
      </c>
      <c r="M48" s="101">
        <f t="shared" si="15"/>
        <v>7.8371555419026615</v>
      </c>
      <c r="N48" s="101">
        <f t="shared" si="16"/>
        <v>0.961850483541927</v>
      </c>
      <c r="O48" s="98">
        <f t="shared" si="17"/>
        <v>0.24734462322506542</v>
      </c>
      <c r="P48" s="104">
        <f t="shared" si="18"/>
        <v>46.530910275286175</v>
      </c>
      <c r="Q48" s="107">
        <f t="shared" si="19"/>
        <v>3.367515632973832</v>
      </c>
      <c r="R48" s="110">
        <f t="shared" si="20"/>
        <v>-3.367515632973832</v>
      </c>
      <c r="S48" s="104">
        <f t="shared" si="21"/>
        <v>39.17064654882975</v>
      </c>
      <c r="T48" s="107">
        <f t="shared" si="22"/>
        <v>4.930976826480522</v>
      </c>
      <c r="U48" s="110">
        <f t="shared" si="23"/>
        <v>-4.930976826480522</v>
      </c>
      <c r="V48" s="113">
        <f t="shared" si="25"/>
        <v>-0.22373519159526636</v>
      </c>
      <c r="W48" s="110">
        <f t="shared" si="13"/>
        <v>49.99949942313465</v>
      </c>
    </row>
    <row r="49" spans="9:23" ht="12.75">
      <c r="I49" s="95">
        <v>45</v>
      </c>
      <c r="J49" s="92">
        <f t="shared" si="10"/>
        <v>93.14952201930174</v>
      </c>
      <c r="K49" s="98">
        <f t="shared" si="14"/>
        <v>0.07302025667750034</v>
      </c>
      <c r="L49" s="92">
        <f t="shared" si="24"/>
        <v>0.6787391535533488</v>
      </c>
      <c r="M49" s="101">
        <f t="shared" si="15"/>
        <v>7.834188987932574</v>
      </c>
      <c r="N49" s="101">
        <f t="shared" si="16"/>
        <v>0.9403176803574775</v>
      </c>
      <c r="O49" s="98">
        <f t="shared" si="17"/>
        <v>0.2453556296160418</v>
      </c>
      <c r="P49" s="104">
        <f t="shared" si="18"/>
        <v>46.45064883898544</v>
      </c>
      <c r="Q49" s="107">
        <f t="shared" si="19"/>
        <v>3.3978795657522136</v>
      </c>
      <c r="R49" s="110">
        <f t="shared" si="20"/>
        <v>-3.3978795657522136</v>
      </c>
      <c r="S49" s="104">
        <f t="shared" si="21"/>
        <v>39.13983646761798</v>
      </c>
      <c r="T49" s="107">
        <f t="shared" si="22"/>
        <v>4.953893645814737</v>
      </c>
      <c r="U49" s="110">
        <f t="shared" si="23"/>
        <v>-4.953893645814737</v>
      </c>
      <c r="V49" s="113">
        <f t="shared" si="25"/>
        <v>-0.18931439288830215</v>
      </c>
      <c r="W49" s="110">
        <f t="shared" si="13"/>
        <v>49.99964159932195</v>
      </c>
    </row>
    <row r="50" spans="9:23" ht="12.75">
      <c r="I50" s="95">
        <v>46</v>
      </c>
      <c r="J50" s="92">
        <f t="shared" si="10"/>
        <v>92.99382933792224</v>
      </c>
      <c r="K50" s="98">
        <f t="shared" si="14"/>
        <v>0.07378883541486364</v>
      </c>
      <c r="L50" s="92">
        <f t="shared" si="24"/>
        <v>0.6663984416705606</v>
      </c>
      <c r="M50" s="101">
        <f t="shared" si="15"/>
        <v>7.831267478461495</v>
      </c>
      <c r="N50" s="101">
        <f t="shared" si="16"/>
        <v>0.9191014137711604</v>
      </c>
      <c r="O50" s="98">
        <f t="shared" si="17"/>
        <v>0.2434058436188474</v>
      </c>
      <c r="P50" s="104">
        <f t="shared" si="18"/>
        <v>46.370389073493705</v>
      </c>
      <c r="Q50" s="107">
        <f t="shared" si="19"/>
        <v>3.4278405601000586</v>
      </c>
      <c r="R50" s="110">
        <f t="shared" si="20"/>
        <v>-3.4278405601000586</v>
      </c>
      <c r="S50" s="104">
        <f t="shared" si="21"/>
        <v>39.109677532986616</v>
      </c>
      <c r="T50" s="107">
        <f t="shared" si="22"/>
        <v>4.977003763904722</v>
      </c>
      <c r="U50" s="110">
        <f t="shared" si="23"/>
        <v>-4.977003763904722</v>
      </c>
      <c r="V50" s="113">
        <f t="shared" si="25"/>
        <v>-0.15489359418133794</v>
      </c>
      <c r="W50" s="110">
        <f t="shared" si="13"/>
        <v>49.99976007916919</v>
      </c>
    </row>
    <row r="51" spans="9:23" ht="12.75">
      <c r="I51" s="95">
        <v>47</v>
      </c>
      <c r="J51" s="92">
        <f t="shared" si="10"/>
        <v>92.83813665654273</v>
      </c>
      <c r="K51" s="98">
        <f t="shared" si="14"/>
        <v>0.07455128367418651</v>
      </c>
      <c r="L51" s="92">
        <f t="shared" si="24"/>
        <v>0.6540577297877724</v>
      </c>
      <c r="M51" s="101">
        <f t="shared" si="15"/>
        <v>7.828391458409717</v>
      </c>
      <c r="N51" s="101">
        <f t="shared" si="16"/>
        <v>0.8981867197559259</v>
      </c>
      <c r="O51" s="98">
        <f t="shared" si="17"/>
        <v>0.2414935404934111</v>
      </c>
      <c r="P51" s="104">
        <f t="shared" si="18"/>
        <v>46.29013193447605</v>
      </c>
      <c r="Q51" s="107">
        <f t="shared" si="19"/>
        <v>3.4573964125518235</v>
      </c>
      <c r="R51" s="110">
        <f t="shared" si="20"/>
        <v>-3.4573964125518235</v>
      </c>
      <c r="S51" s="104">
        <f t="shared" si="21"/>
        <v>39.08015167136925</v>
      </c>
      <c r="T51" s="107">
        <f t="shared" si="22"/>
        <v>5.000305049092373</v>
      </c>
      <c r="U51" s="110">
        <f t="shared" si="23"/>
        <v>-5.000305049092373</v>
      </c>
      <c r="V51" s="113">
        <f t="shared" si="25"/>
        <v>-0.12047279547437373</v>
      </c>
      <c r="W51" s="110">
        <f t="shared" si="13"/>
        <v>49.999854862844856</v>
      </c>
    </row>
    <row r="52" spans="9:23" ht="12.75">
      <c r="I52" s="95">
        <v>48</v>
      </c>
      <c r="J52" s="92">
        <f t="shared" si="10"/>
        <v>92.68244397516322</v>
      </c>
      <c r="K52" s="98">
        <f t="shared" si="14"/>
        <v>0.07530752048694478</v>
      </c>
      <c r="L52" s="92">
        <f t="shared" si="24"/>
        <v>0.6417170179049843</v>
      </c>
      <c r="M52" s="101">
        <f t="shared" si="15"/>
        <v>7.825561365769891</v>
      </c>
      <c r="N52" s="101">
        <f t="shared" si="16"/>
        <v>0.8775594325966921</v>
      </c>
      <c r="O52" s="98">
        <f t="shared" si="17"/>
        <v>0.23961708359566294</v>
      </c>
      <c r="P52" s="104">
        <f t="shared" si="18"/>
        <v>46.20987838472721</v>
      </c>
      <c r="Q52" s="107">
        <f t="shared" si="19"/>
        <v>3.48654484712848</v>
      </c>
      <c r="R52" s="110">
        <f t="shared" si="20"/>
        <v>-3.48654484712848</v>
      </c>
      <c r="S52" s="104">
        <f t="shared" si="21"/>
        <v>39.05124211199191</v>
      </c>
      <c r="T52" s="107">
        <f t="shared" si="22"/>
        <v>5.0237954466551855</v>
      </c>
      <c r="U52" s="110">
        <f t="shared" si="23"/>
        <v>-5.0237954466551855</v>
      </c>
      <c r="V52" s="113">
        <f t="shared" si="25"/>
        <v>-0.08605199676740952</v>
      </c>
      <c r="W52" s="110">
        <f t="shared" si="13"/>
        <v>49.999925950483686</v>
      </c>
    </row>
    <row r="53" spans="9:23" ht="12.75">
      <c r="I53" s="95">
        <v>49</v>
      </c>
      <c r="J53" s="92">
        <f t="shared" si="10"/>
        <v>92.52675129378372</v>
      </c>
      <c r="K53" s="98">
        <f t="shared" si="14"/>
        <v>0.07605746266034452</v>
      </c>
      <c r="L53" s="92">
        <f t="shared" si="24"/>
        <v>0.6293763060221961</v>
      </c>
      <c r="M53" s="101">
        <f t="shared" si="15"/>
        <v>7.822777631540325</v>
      </c>
      <c r="N53" s="101">
        <f t="shared" si="16"/>
        <v>0.8572061320438376</v>
      </c>
      <c r="O53" s="98">
        <f t="shared" si="17"/>
        <v>0.23777491851524532</v>
      </c>
      <c r="P53" s="104">
        <f t="shared" si="18"/>
        <v>46.129629394546434</v>
      </c>
      <c r="Q53" s="107">
        <f t="shared" si="19"/>
        <v>3.5152835116423065</v>
      </c>
      <c r="R53" s="110">
        <f t="shared" si="20"/>
        <v>-3.5152835116423065</v>
      </c>
      <c r="S53" s="104">
        <f t="shared" si="21"/>
        <v>39.02293328693027</v>
      </c>
      <c r="T53" s="107">
        <f t="shared" si="22"/>
        <v>5.04747296350557</v>
      </c>
      <c r="U53" s="110">
        <f t="shared" si="23"/>
        <v>-5.04747296350557</v>
      </c>
      <c r="V53" s="113">
        <f t="shared" si="25"/>
        <v>-0.05163119806044531</v>
      </c>
      <c r="W53" s="110">
        <f t="shared" si="13"/>
        <v>49.99997334218676</v>
      </c>
    </row>
    <row r="54" spans="9:23" ht="12.75">
      <c r="I54" s="95">
        <v>50</v>
      </c>
      <c r="J54" s="92">
        <f t="shared" si="10"/>
        <v>92.37105861240421</v>
      </c>
      <c r="K54" s="98">
        <f t="shared" si="14"/>
        <v>0.07680102467275668</v>
      </c>
      <c r="L54" s="92">
        <f t="shared" si="24"/>
        <v>0.6170355941394079</v>
      </c>
      <c r="M54" s="101">
        <f t="shared" si="15"/>
        <v>7.82004067965935</v>
      </c>
      <c r="N54" s="101">
        <f t="shared" si="16"/>
        <v>0.8371140945343338</v>
      </c>
      <c r="O54" s="98">
        <f t="shared" si="17"/>
        <v>0.2359655676652741</v>
      </c>
      <c r="P54" s="104">
        <f t="shared" si="18"/>
        <v>46.049385942138535</v>
      </c>
      <c r="Q54" s="107">
        <f t="shared" si="19"/>
        <v>3.54360997374533</v>
      </c>
      <c r="R54" s="110">
        <f t="shared" si="20"/>
        <v>-3.54360997374533</v>
      </c>
      <c r="S54" s="104">
        <f t="shared" si="21"/>
        <v>38.99521073985311</v>
      </c>
      <c r="T54" s="107">
        <f t="shared" si="22"/>
        <v>5.071335654866727</v>
      </c>
      <c r="U54" s="110">
        <f t="shared" si="23"/>
        <v>-5.071335654866727</v>
      </c>
      <c r="V54" s="113">
        <f t="shared" si="25"/>
        <v>-0.017210399353481107</v>
      </c>
      <c r="W54" s="110">
        <f t="shared" si="13"/>
        <v>49.999997038021455</v>
      </c>
    </row>
    <row r="55" spans="9:23" ht="12.75">
      <c r="I55" s="95">
        <v>51</v>
      </c>
      <c r="J55" s="92">
        <f t="shared" si="10"/>
        <v>92.2153659310247</v>
      </c>
      <c r="K55" s="98">
        <f t="shared" si="14"/>
        <v>0.07753811856200027</v>
      </c>
      <c r="L55" s="92">
        <f t="shared" si="24"/>
        <v>0.6046948822566197</v>
      </c>
      <c r="M55" s="101">
        <f t="shared" si="15"/>
        <v>7.817350926940752</v>
      </c>
      <c r="N55" s="101">
        <f t="shared" si="16"/>
        <v>0.8172712481156938</v>
      </c>
      <c r="O55" s="98">
        <f t="shared" si="17"/>
        <v>0.23418762528361348</v>
      </c>
      <c r="P55" s="104">
        <f t="shared" si="18"/>
        <v>45.96914901404366</v>
      </c>
      <c r="Q55" s="107">
        <f t="shared" si="19"/>
        <v>3.5715217166982027</v>
      </c>
      <c r="R55" s="110">
        <f t="shared" si="20"/>
        <v>-3.5715217166982027</v>
      </c>
      <c r="S55" s="104">
        <f t="shared" si="21"/>
        <v>38.96806104259778</v>
      </c>
      <c r="T55" s="107">
        <f t="shared" si="22"/>
        <v>5.095381612678665</v>
      </c>
      <c r="U55" s="110">
        <f t="shared" si="23"/>
        <v>-5.095381612678665</v>
      </c>
      <c r="V55" s="113">
        <f t="shared" si="25"/>
        <v>0.017210399353483098</v>
      </c>
      <c r="W55" s="110">
        <f t="shared" si="13"/>
        <v>49.999997038021455</v>
      </c>
    </row>
    <row r="56" spans="9:23" ht="12.75">
      <c r="I56" s="95">
        <v>52</v>
      </c>
      <c r="J56" s="92">
        <f t="shared" si="10"/>
        <v>92.0596732496452</v>
      </c>
      <c r="K56" s="98">
        <f t="shared" si="14"/>
        <v>0.07826865380582648</v>
      </c>
      <c r="L56" s="92">
        <f t="shared" si="24"/>
        <v>0.5923541703738315</v>
      </c>
      <c r="M56" s="101">
        <f t="shared" si="15"/>
        <v>7.814708783010301</v>
      </c>
      <c r="N56" s="101">
        <f t="shared" si="16"/>
        <v>0.7976661307446721</v>
      </c>
      <c r="O56" s="98">
        <f t="shared" si="17"/>
        <v>0.23243975280921125</v>
      </c>
      <c r="P56" s="104">
        <f t="shared" si="18"/>
        <v>45.888919605598325</v>
      </c>
      <c r="Q56" s="107">
        <f t="shared" si="19"/>
        <v>3.599016134833725</v>
      </c>
      <c r="R56" s="110">
        <f t="shared" si="20"/>
        <v>-3.599016134833725</v>
      </c>
      <c r="S56" s="104">
        <f t="shared" si="21"/>
        <v>38.94147171881724</v>
      </c>
      <c r="T56" s="107">
        <f t="shared" si="22"/>
        <v>5.119608955520379</v>
      </c>
      <c r="U56" s="110">
        <f t="shared" si="23"/>
        <v>-5.119608955520379</v>
      </c>
      <c r="V56" s="113">
        <f t="shared" si="25"/>
        <v>0.0516311980604473</v>
      </c>
      <c r="W56" s="110">
        <f t="shared" si="13"/>
        <v>49.99997334218676</v>
      </c>
    </row>
    <row r="57" spans="9:23" ht="12.75">
      <c r="I57" s="95">
        <v>53</v>
      </c>
      <c r="J57" s="92">
        <f t="shared" si="10"/>
        <v>91.9039805682657</v>
      </c>
      <c r="K57" s="98">
        <f t="shared" si="14"/>
        <v>0.07899253719388538</v>
      </c>
      <c r="L57" s="92">
        <f t="shared" si="24"/>
        <v>0.5800134584910434</v>
      </c>
      <c r="M57" s="101">
        <f t="shared" si="15"/>
        <v>7.812114650243363</v>
      </c>
      <c r="N57" s="101">
        <f t="shared" si="16"/>
        <v>0.7782878516653022</v>
      </c>
      <c r="O57" s="98">
        <f t="shared" si="17"/>
        <v>0.23072067460066836</v>
      </c>
      <c r="P57" s="104">
        <f t="shared" si="18"/>
        <v>45.808698721430744</v>
      </c>
      <c r="Q57" s="107">
        <f t="shared" si="19"/>
        <v>3.6260905286864085</v>
      </c>
      <c r="R57" s="110">
        <f t="shared" si="20"/>
        <v>-3.6260905286864085</v>
      </c>
      <c r="S57" s="104">
        <f t="shared" si="21"/>
        <v>38.91543117402052</v>
      </c>
      <c r="T57" s="107">
        <f t="shared" si="22"/>
        <v>5.144015819862107</v>
      </c>
      <c r="U57" s="110">
        <f t="shared" si="23"/>
        <v>-5.144015819862107</v>
      </c>
      <c r="V57" s="113">
        <f t="shared" si="25"/>
        <v>0.08605199676741151</v>
      </c>
      <c r="W57" s="110">
        <f t="shared" si="13"/>
        <v>49.999925950483686</v>
      </c>
    </row>
    <row r="58" spans="9:23" ht="12.75">
      <c r="I58" s="95">
        <v>54</v>
      </c>
      <c r="J58" s="92">
        <f t="shared" si="10"/>
        <v>91.74828788688619</v>
      </c>
      <c r="K58" s="98">
        <f t="shared" si="14"/>
        <v>0.07970967269037094</v>
      </c>
      <c r="L58" s="92">
        <f t="shared" si="24"/>
        <v>0.5676727466082552</v>
      </c>
      <c r="M58" s="101">
        <f t="shared" si="15"/>
        <v>7.809568923703629</v>
      </c>
      <c r="N58" s="101">
        <f t="shared" si="16"/>
        <v>0.7591260555998751</v>
      </c>
      <c r="O58" s="98">
        <f t="shared" si="17"/>
        <v>0.22902917396744266</v>
      </c>
      <c r="P58" s="104">
        <f t="shared" si="18"/>
        <v>45.728487375993616</v>
      </c>
      <c r="Q58" s="107">
        <f t="shared" si="19"/>
        <v>3.65274209975598</v>
      </c>
      <c r="R58" s="110">
        <f t="shared" si="20"/>
        <v>-3.65274209975598</v>
      </c>
      <c r="S58" s="104">
        <f t="shared" si="21"/>
        <v>38.8899286314013</v>
      </c>
      <c r="T58" s="107">
        <f t="shared" si="22"/>
        <v>5.1686003524857504</v>
      </c>
      <c r="U58" s="110">
        <f t="shared" si="23"/>
        <v>-5.1686003524857504</v>
      </c>
      <c r="V58" s="113">
        <f t="shared" si="25"/>
        <v>0.12047279547437573</v>
      </c>
      <c r="W58" s="110">
        <f t="shared" si="13"/>
        <v>49.999854862844856</v>
      </c>
    </row>
    <row r="59" spans="9:23" ht="12.75">
      <c r="I59" s="95">
        <v>55</v>
      </c>
      <c r="J59" s="92">
        <f t="shared" si="10"/>
        <v>91.59259520550668</v>
      </c>
      <c r="K59" s="98">
        <f t="shared" si="14"/>
        <v>0.08041996128644452</v>
      </c>
      <c r="L59" s="92">
        <f t="shared" si="24"/>
        <v>0.555332034725467</v>
      </c>
      <c r="M59" s="101">
        <f t="shared" si="15"/>
        <v>7.807071991082939</v>
      </c>
      <c r="N59" s="101">
        <f t="shared" si="16"/>
        <v>0.740170889512309</v>
      </c>
      <c r="O59" s="98">
        <f t="shared" si="17"/>
        <v>0.22736408948695716</v>
      </c>
      <c r="P59" s="104">
        <f t="shared" si="18"/>
        <v>45.64828659413821</v>
      </c>
      <c r="Q59" s="107">
        <f t="shared" si="19"/>
        <v>3.6789679448688952</v>
      </c>
      <c r="R59" s="110">
        <f t="shared" si="20"/>
        <v>-3.6789679448688952</v>
      </c>
      <c r="S59" s="104">
        <f t="shared" si="21"/>
        <v>38.86495407291357</v>
      </c>
      <c r="T59" s="107">
        <f t="shared" si="22"/>
        <v>5.193360703932242</v>
      </c>
      <c r="U59" s="110">
        <f t="shared" si="23"/>
        <v>-5.193360703932242</v>
      </c>
      <c r="V59" s="113">
        <f t="shared" si="25"/>
        <v>0.15489359418133994</v>
      </c>
      <c r="W59" s="110">
        <f t="shared" si="13"/>
        <v>49.99976007916919</v>
      </c>
    </row>
    <row r="60" spans="9:23" ht="12.75">
      <c r="I60" s="95">
        <v>56</v>
      </c>
      <c r="J60" s="92">
        <f t="shared" si="10"/>
        <v>91.43690252412718</v>
      </c>
      <c r="K60" s="98">
        <f t="shared" si="14"/>
        <v>0.08112330084143266</v>
      </c>
      <c r="L60" s="92">
        <f t="shared" si="24"/>
        <v>0.5429913228426788</v>
      </c>
      <c r="M60" s="101">
        <f t="shared" si="15"/>
        <v>7.8046242326422535</v>
      </c>
      <c r="N60" s="101">
        <f t="shared" si="16"/>
        <v>0.7214129717264163</v>
      </c>
      <c r="O60" s="98">
        <f t="shared" si="17"/>
        <v>0.22572431158344494</v>
      </c>
      <c r="P60" s="104">
        <f t="shared" si="18"/>
        <v>45.568097411733774</v>
      </c>
      <c r="Q60" s="107">
        <f t="shared" si="19"/>
        <v>3.704765050097714</v>
      </c>
      <c r="R60" s="110">
        <f t="shared" si="20"/>
        <v>-3.704765050097714</v>
      </c>
      <c r="S60" s="104">
        <f t="shared" si="21"/>
        <v>38.840498185109794</v>
      </c>
      <c r="T60" s="107">
        <f t="shared" si="22"/>
        <v>5.218295022852635</v>
      </c>
      <c r="U60" s="110">
        <f t="shared" si="23"/>
        <v>-5.218295022852635</v>
      </c>
      <c r="V60" s="113">
        <f t="shared" si="25"/>
        <v>0.18931439288830415</v>
      </c>
      <c r="W60" s="110">
        <f t="shared" si="13"/>
        <v>49.99964159932195</v>
      </c>
    </row>
    <row r="61" spans="9:23" ht="12.75">
      <c r="I61" s="95">
        <v>57</v>
      </c>
      <c r="J61" s="92">
        <f t="shared" si="10"/>
        <v>91.28120984274767</v>
      </c>
      <c r="K61" s="98">
        <f t="shared" si="14"/>
        <v>0.08181958591166522</v>
      </c>
      <c r="L61" s="92">
        <f t="shared" si="24"/>
        <v>0.5306506109598906</v>
      </c>
      <c r="M61" s="101">
        <f t="shared" si="15"/>
        <v>7.802226021153732</v>
      </c>
      <c r="N61" s="101">
        <f t="shared" si="16"/>
        <v>0.7028433632021582</v>
      </c>
      <c r="O61" s="98">
        <f t="shared" si="17"/>
        <v>0.2241087793466512</v>
      </c>
      <c r="P61" s="104">
        <f t="shared" si="18"/>
        <v>45.48792087633684</v>
      </c>
      <c r="Q61" s="107">
        <f t="shared" si="19"/>
        <v>3.7301302841929393</v>
      </c>
      <c r="R61" s="110">
        <f t="shared" si="20"/>
        <v>-3.7301302841929393</v>
      </c>
      <c r="S61" s="104">
        <f t="shared" si="21"/>
        <v>38.816552309306985</v>
      </c>
      <c r="T61" s="107">
        <f t="shared" si="22"/>
        <v>5.2434014511552895</v>
      </c>
      <c r="U61" s="110">
        <f t="shared" si="23"/>
        <v>-5.2434014511552895</v>
      </c>
      <c r="V61" s="113">
        <f t="shared" si="25"/>
        <v>0.22373519159526836</v>
      </c>
      <c r="W61" s="110">
        <f t="shared" si="13"/>
        <v>49.99949942313465</v>
      </c>
    </row>
    <row r="62" spans="9:23" ht="12.75">
      <c r="I62" s="95">
        <v>58</v>
      </c>
      <c r="J62" s="92">
        <f t="shared" si="10"/>
        <v>91.12551716136817</v>
      </c>
      <c r="K62" s="98">
        <f t="shared" si="14"/>
        <v>0.08250870756568135</v>
      </c>
      <c r="L62" s="92">
        <f t="shared" si="24"/>
        <v>0.5183098990771025</v>
      </c>
      <c r="M62" s="101">
        <f t="shared" si="15"/>
        <v>7.799877721843969</v>
      </c>
      <c r="N62" s="101">
        <f t="shared" si="16"/>
        <v>0.6844535407913895</v>
      </c>
      <c r="O62" s="98">
        <f t="shared" si="17"/>
        <v>0.22251647757055662</v>
      </c>
      <c r="P62" s="104">
        <f t="shared" si="18"/>
        <v>45.40775804791585</v>
      </c>
      <c r="Q62" s="107">
        <f t="shared" si="19"/>
        <v>3.7550603914763334</v>
      </c>
      <c r="R62" s="110">
        <f t="shared" si="20"/>
        <v>-3.7550603914763334</v>
      </c>
      <c r="S62" s="104">
        <f t="shared" si="21"/>
        <v>38.793108395691306</v>
      </c>
      <c r="T62" s="107">
        <f t="shared" si="22"/>
        <v>5.268678119854908</v>
      </c>
      <c r="U62" s="110">
        <f t="shared" si="23"/>
        <v>-5.268678119854908</v>
      </c>
      <c r="V62" s="113">
        <f t="shared" si="25"/>
        <v>0.2581559903022326</v>
      </c>
      <c r="W62" s="110">
        <f t="shared" si="13"/>
        <v>49.99933355040516</v>
      </c>
    </row>
    <row r="63" spans="9:23" ht="12.75">
      <c r="I63" s="95">
        <v>59</v>
      </c>
      <c r="J63" s="92">
        <f t="shared" si="10"/>
        <v>90.96982447998866</v>
      </c>
      <c r="K63" s="98">
        <f t="shared" si="14"/>
        <v>0.08319055318436269</v>
      </c>
      <c r="L63" s="92">
        <f t="shared" si="24"/>
        <v>0.5059691871943143</v>
      </c>
      <c r="M63" s="101">
        <f t="shared" si="15"/>
        <v>7.797579692338371</v>
      </c>
      <c r="N63" s="101">
        <f t="shared" si="16"/>
        <v>0.6662353723110814</v>
      </c>
      <c r="O63" s="98">
        <f t="shared" si="17"/>
        <v>0.22094643399412042</v>
      </c>
      <c r="P63" s="104">
        <f t="shared" si="18"/>
        <v>45.32760999963692</v>
      </c>
      <c r="Q63" s="107">
        <f t="shared" si="19"/>
        <v>3.7795519841379286</v>
      </c>
      <c r="R63" s="110">
        <f t="shared" si="20"/>
        <v>-3.7795519841379286</v>
      </c>
      <c r="S63" s="104">
        <f t="shared" si="21"/>
        <v>38.77015896101025</v>
      </c>
      <c r="T63" s="107">
        <f t="shared" si="22"/>
        <v>5.2941231455410005</v>
      </c>
      <c r="U63" s="110">
        <f t="shared" si="23"/>
        <v>-5.2941231455410005</v>
      </c>
      <c r="V63" s="113">
        <f t="shared" si="25"/>
        <v>0.29257678900919676</v>
      </c>
      <c r="W63" s="110">
        <f t="shared" si="13"/>
        <v>49.99914398089764</v>
      </c>
    </row>
    <row r="64" spans="9:23" ht="12.75">
      <c r="I64" s="95">
        <v>60</v>
      </c>
      <c r="J64" s="92">
        <f t="shared" si="10"/>
        <v>90.81413179860915</v>
      </c>
      <c r="K64" s="98">
        <f t="shared" si="14"/>
        <v>0.08386500624436438</v>
      </c>
      <c r="L64" s="92">
        <f t="shared" si="24"/>
        <v>0.4936284753115261</v>
      </c>
      <c r="M64" s="101">
        <f t="shared" si="15"/>
        <v>7.7953322826066955</v>
      </c>
      <c r="N64" s="101">
        <f t="shared" si="16"/>
        <v>0.6481810932868001</v>
      </c>
      <c r="O64" s="98">
        <f t="shared" si="17"/>
        <v>0.21939771672768232</v>
      </c>
      <c r="P64" s="104">
        <f t="shared" si="18"/>
        <v>45.24747781871737</v>
      </c>
      <c r="Q64" s="107">
        <f t="shared" si="19"/>
        <v>3.8036015338712685</v>
      </c>
      <c r="R64" s="110">
        <f t="shared" si="20"/>
        <v>-3.8036015338712685</v>
      </c>
      <c r="S64" s="104">
        <f t="shared" si="21"/>
        <v>38.74769704953735</v>
      </c>
      <c r="T64" s="107">
        <f t="shared" si="22"/>
        <v>5.319734627393449</v>
      </c>
      <c r="U64" s="110">
        <f t="shared" si="23"/>
        <v>-5.319734627393449</v>
      </c>
      <c r="V64" s="113">
        <f t="shared" si="25"/>
        <v>0.32699758771616094</v>
      </c>
      <c r="W64" s="110">
        <f t="shared" si="13"/>
        <v>49.998930714342556</v>
      </c>
    </row>
    <row r="65" spans="9:23" ht="12.75">
      <c r="I65" s="95">
        <v>61</v>
      </c>
      <c r="J65" s="92">
        <f t="shared" si="10"/>
        <v>90.65843911722965</v>
      </c>
      <c r="K65" s="98">
        <f t="shared" si="14"/>
        <v>0.08453194608299286</v>
      </c>
      <c r="L65" s="92">
        <f t="shared" si="24"/>
        <v>0.4812877634287379</v>
      </c>
      <c r="M65" s="101">
        <f t="shared" si="15"/>
        <v>7.793135834909749</v>
      </c>
      <c r="N65" s="101">
        <f t="shared" si="16"/>
        <v>0.6302832852324878</v>
      </c>
      <c r="O65" s="98">
        <f t="shared" si="17"/>
        <v>0.21786943185013913</v>
      </c>
      <c r="P65" s="104">
        <f t="shared" si="18"/>
        <v>45.16736260735482</v>
      </c>
      <c r="Q65" s="107">
        <f t="shared" si="19"/>
        <v>3.8272053627724834</v>
      </c>
      <c r="R65" s="110">
        <f t="shared" si="20"/>
        <v>-3.8272053627724834</v>
      </c>
      <c r="S65" s="104">
        <f t="shared" si="21"/>
        <v>38.72571619702523</v>
      </c>
      <c r="T65" s="107">
        <f t="shared" si="22"/>
        <v>5.345510644681766</v>
      </c>
      <c r="U65" s="110">
        <f t="shared" si="23"/>
        <v>-5.345510644681766</v>
      </c>
      <c r="V65" s="113">
        <f t="shared" si="25"/>
        <v>0.3614183864231251</v>
      </c>
      <c r="W65" s="110">
        <f t="shared" si="13"/>
        <v>49.99869375043667</v>
      </c>
    </row>
    <row r="66" spans="9:23" ht="12.75">
      <c r="I66" s="95">
        <v>62</v>
      </c>
      <c r="J66" s="92">
        <f t="shared" si="10"/>
        <v>90.50274643585014</v>
      </c>
      <c r="K66" s="98">
        <f t="shared" si="14"/>
        <v>0.08519124764241909</v>
      </c>
      <c r="L66" s="92">
        <f t="shared" si="24"/>
        <v>0.46894705154594973</v>
      </c>
      <c r="M66" s="101">
        <f t="shared" si="15"/>
        <v>7.790990683747268</v>
      </c>
      <c r="N66" s="101">
        <f t="shared" si="16"/>
        <v>0.6125348553445271</v>
      </c>
      <c r="O66" s="98">
        <f t="shared" si="17"/>
        <v>0.2163607211633358</v>
      </c>
      <c r="P66" s="104">
        <f t="shared" si="18"/>
        <v>45.08726548374042</v>
      </c>
      <c r="Q66" s="107">
        <f t="shared" si="19"/>
        <v>3.8503596334181944</v>
      </c>
      <c r="R66" s="110">
        <f t="shared" si="20"/>
        <v>-3.8503596334181944</v>
      </c>
      <c r="S66" s="104">
        <f t="shared" si="21"/>
        <v>38.70421039739064</v>
      </c>
      <c r="T66" s="107">
        <f t="shared" si="22"/>
        <v>5.371449254692344</v>
      </c>
      <c r="U66" s="110">
        <f t="shared" si="23"/>
        <v>-5.371449254692344</v>
      </c>
      <c r="V66" s="113">
        <f t="shared" si="25"/>
        <v>0.3958391851300893</v>
      </c>
      <c r="W66" s="110">
        <f t="shared" si="13"/>
        <v>49.99843308884305</v>
      </c>
    </row>
    <row r="67" spans="9:23" ht="12.75">
      <c r="I67" s="95">
        <v>63</v>
      </c>
      <c r="J67" s="92">
        <f t="shared" si="10"/>
        <v>90.34705375447064</v>
      </c>
      <c r="K67" s="98">
        <f t="shared" si="14"/>
        <v>0.08584278119081873</v>
      </c>
      <c r="L67" s="92">
        <f t="shared" si="24"/>
        <v>0.45660633966316155</v>
      </c>
      <c r="M67" s="101">
        <f t="shared" si="15"/>
        <v>7.788897155806978</v>
      </c>
      <c r="N67" s="101">
        <f t="shared" si="16"/>
        <v>0.5949290174988088</v>
      </c>
      <c r="O67" s="98">
        <f t="shared" si="17"/>
        <v>0.2148707600913055</v>
      </c>
      <c r="P67" s="104">
        <f t="shared" si="18"/>
        <v>45.007187583166285</v>
      </c>
      <c r="Q67" s="107">
        <f t="shared" si="19"/>
        <v>3.8730603380252138</v>
      </c>
      <c r="R67" s="110">
        <f t="shared" si="20"/>
        <v>-3.8730603380252138</v>
      </c>
      <c r="S67" s="104">
        <f t="shared" si="21"/>
        <v>38.683174071900204</v>
      </c>
      <c r="T67" s="107">
        <f t="shared" si="22"/>
        <v>5.397548491034749</v>
      </c>
      <c r="U67" s="110">
        <f t="shared" si="23"/>
        <v>-5.397548491034749</v>
      </c>
      <c r="V67" s="113">
        <f t="shared" si="25"/>
        <v>0.4302599838370535</v>
      </c>
      <c r="W67" s="110">
        <f t="shared" si="13"/>
        <v>49.99814872919105</v>
      </c>
    </row>
    <row r="68" spans="9:23" ht="12.75">
      <c r="I68" s="95">
        <v>64</v>
      </c>
      <c r="J68" s="92">
        <f t="shared" si="10"/>
        <v>90.19136107309113</v>
      </c>
      <c r="K68" s="98">
        <f t="shared" si="14"/>
        <v>0.08648641201767138</v>
      </c>
      <c r="L68" s="92">
        <f t="shared" si="24"/>
        <v>0.4442656277803734</v>
      </c>
      <c r="M68" s="101">
        <f t="shared" si="15"/>
        <v>7.786855569914839</v>
      </c>
      <c r="N68" s="101">
        <f t="shared" si="16"/>
        <v>0.5774592744491982</v>
      </c>
      <c r="O68" s="98">
        <f t="shared" si="17"/>
        <v>0.21339875571306768</v>
      </c>
      <c r="P68" s="104">
        <f t="shared" si="18"/>
        <v>44.92713005923849</v>
      </c>
      <c r="Q68" s="107">
        <f t="shared" si="19"/>
        <v>3.8953032865803743</v>
      </c>
      <c r="R68" s="110">
        <f t="shared" si="20"/>
        <v>-3.8953032865803743</v>
      </c>
      <c r="S68" s="104">
        <f t="shared" si="21"/>
        <v>38.66260204064745</v>
      </c>
      <c r="T68" s="107">
        <f t="shared" si="22"/>
        <v>5.4238063622839805</v>
      </c>
      <c r="U68" s="110">
        <f t="shared" si="23"/>
        <v>-5.4238063622839805</v>
      </c>
      <c r="V68" s="113">
        <f t="shared" si="25"/>
        <v>0.4646807825440177</v>
      </c>
      <c r="W68" s="110">
        <f t="shared" si="13"/>
        <v>49.99784067107633</v>
      </c>
    </row>
    <row r="69" spans="9:23" ht="12.75">
      <c r="I69" s="95">
        <v>65</v>
      </c>
      <c r="J69" s="92">
        <f t="shared" si="10"/>
        <v>90.03566839171162</v>
      </c>
      <c r="K69" s="98">
        <f aca="true" t="shared" si="26" ref="K69:K100">ACOS($D$16/J69)-TAN(ACOS($D$16/J69))+$D$24</f>
        <v>0.08712200010003801</v>
      </c>
      <c r="L69" s="92">
        <f t="shared" si="24"/>
        <v>0.4319249158975852</v>
      </c>
      <c r="M69" s="101">
        <f aca="true" t="shared" si="27" ref="M69:M100">$D$9/(2*COS($D$8/180*PI()))-$D$25-$D$6*COS(L69)</f>
        <v>7.78486623698649</v>
      </c>
      <c r="N69" s="101">
        <f aca="true" t="shared" si="28" ref="N69:N104">$D$25*TAN(L69)+$D$6*SIN(L69)</f>
        <v>0.5601194011345259</v>
      </c>
      <c r="O69" s="98">
        <f aca="true" t="shared" si="29" ref="O69:O104">2*COS($D$8/180*PI())/$D$9*($D$26+$D$25*TAN(L69))</f>
        <v>0.21194394491866228</v>
      </c>
      <c r="P69" s="104">
        <f aca="true" t="shared" si="30" ref="P69:P104">J69/2*COS(K69)</f>
        <v>44.847094085208795</v>
      </c>
      <c r="Q69" s="107">
        <f aca="true" t="shared" si="31" ref="Q69:Q100">P69*TAN(K69)</f>
        <v>3.917084093812033</v>
      </c>
      <c r="R69" s="110">
        <f aca="true" t="shared" si="32" ref="R69:R100">-Q69</f>
        <v>-3.917084093812033</v>
      </c>
      <c r="S69" s="104">
        <f aca="true" t="shared" si="33" ref="S69:S100">(M69*COS(O69)+N69*SIN(O69))*$D$7</f>
        <v>38.642489496132036</v>
      </c>
      <c r="T69" s="107">
        <f aca="true" t="shared" si="34" ref="T69:T104">(M69*SIN(O69)-N69*COS(O69))*$D$7</f>
        <v>5.450220850920879</v>
      </c>
      <c r="U69" s="110">
        <f aca="true" t="shared" si="35" ref="U69:U100">-T69</f>
        <v>-5.450220850920879</v>
      </c>
      <c r="V69" s="113">
        <f t="shared" si="25"/>
        <v>0.49910158125098186</v>
      </c>
      <c r="W69" s="110">
        <f t="shared" si="13"/>
        <v>49.99750891406084</v>
      </c>
    </row>
    <row r="70" spans="9:23" ht="12.75">
      <c r="I70" s="95">
        <v>66</v>
      </c>
      <c r="J70" s="92">
        <f aca="true" t="shared" si="36" ref="J70:J103">J69-$D$21</f>
        <v>89.87997571033212</v>
      </c>
      <c r="K70" s="98">
        <f t="shared" si="26"/>
        <v>0.08774939973613932</v>
      </c>
      <c r="L70" s="92">
        <f aca="true" t="shared" si="37" ref="L70:L104">L69-$D$22</f>
        <v>0.419584204014797</v>
      </c>
      <c r="M70" s="101">
        <f t="shared" si="27"/>
        <v>7.782929459979905</v>
      </c>
      <c r="N70" s="101">
        <f t="shared" si="28"/>
        <v>0.5429034290091046</v>
      </c>
      <c r="O70" s="98">
        <f t="shared" si="29"/>
        <v>0.2105055926789755</v>
      </c>
      <c r="P70" s="104">
        <f t="shared" si="30"/>
        <v>44.767080855440454</v>
      </c>
      <c r="Q70" s="107">
        <f t="shared" si="31"/>
        <v>3.9383981648545867</v>
      </c>
      <c r="R70" s="110">
        <f t="shared" si="32"/>
        <v>-3.9383981648545867</v>
      </c>
      <c r="S70" s="104">
        <f t="shared" si="33"/>
        <v>38.622831978769426</v>
      </c>
      <c r="T70" s="107">
        <f t="shared" si="34"/>
        <v>5.476789912537249</v>
      </c>
      <c r="U70" s="110">
        <f t="shared" si="35"/>
        <v>-5.476789912537249</v>
      </c>
      <c r="V70" s="113">
        <f aca="true" t="shared" si="38" ref="V70:V104">V69+$D$23</f>
        <v>0.533522379957946</v>
      </c>
      <c r="W70" s="110">
        <f aca="true" t="shared" si="39" ref="W70:W104">(($D$14/2)^2-V70^2)^0.5</f>
        <v>49.99715345767281</v>
      </c>
    </row>
    <row r="71" spans="9:23" ht="12.75">
      <c r="I71" s="95">
        <v>67</v>
      </c>
      <c r="J71" s="92">
        <f t="shared" si="36"/>
        <v>89.72428302895261</v>
      </c>
      <c r="K71" s="98">
        <f t="shared" si="26"/>
        <v>0.08836845914197167</v>
      </c>
      <c r="L71" s="92">
        <f t="shared" si="37"/>
        <v>0.40724349213200883</v>
      </c>
      <c r="M71" s="101">
        <f t="shared" si="27"/>
        <v>7.781045533849251</v>
      </c>
      <c r="N71" s="101">
        <f t="shared" si="28"/>
        <v>0.5258056313189082</v>
      </c>
      <c r="O71" s="98">
        <f t="shared" si="29"/>
        <v>0.20908299042070277</v>
      </c>
      <c r="P71" s="104">
        <f t="shared" si="30"/>
        <v>44.68709158702564</v>
      </c>
      <c r="Q71" s="107">
        <f t="shared" si="31"/>
        <v>3.9592406794334436</v>
      </c>
      <c r="R71" s="110">
        <f t="shared" si="32"/>
        <v>-3.9592406794334436</v>
      </c>
      <c r="S71" s="104">
        <f t="shared" si="33"/>
        <v>38.60362535417564</v>
      </c>
      <c r="T71" s="107">
        <f t="shared" si="34"/>
        <v>5.503511475276341</v>
      </c>
      <c r="U71" s="110">
        <f t="shared" si="35"/>
        <v>-5.503511475276341</v>
      </c>
      <c r="V71" s="113">
        <f t="shared" si="38"/>
        <v>0.5679431786649103</v>
      </c>
      <c r="W71" s="110">
        <f t="shared" si="39"/>
        <v>49.99677430140677</v>
      </c>
    </row>
    <row r="72" spans="9:23" ht="12.75">
      <c r="I72" s="95">
        <v>68</v>
      </c>
      <c r="J72" s="92">
        <f t="shared" si="36"/>
        <v>89.5685903475731</v>
      </c>
      <c r="K72" s="98">
        <f t="shared" si="26"/>
        <v>0.08897902000599517</v>
      </c>
      <c r="L72" s="92">
        <f t="shared" si="37"/>
        <v>0.39490278024922065</v>
      </c>
      <c r="M72" s="101">
        <f t="shared" si="27"/>
        <v>7.779214745499966</v>
      </c>
      <c r="N72" s="101">
        <f t="shared" si="28"/>
        <v>0.5088205092519846</v>
      </c>
      <c r="O72" s="98">
        <f t="shared" si="29"/>
        <v>0.20767545449851146</v>
      </c>
      <c r="P72" s="104">
        <f t="shared" si="30"/>
        <v>44.60712752157527</v>
      </c>
      <c r="Q72" s="107">
        <f t="shared" si="31"/>
        <v>3.979606574369269</v>
      </c>
      <c r="R72" s="110">
        <f t="shared" si="32"/>
        <v>-3.979606574369269</v>
      </c>
      <c r="S72" s="104">
        <f t="shared" si="33"/>
        <v>38.584865792085935</v>
      </c>
      <c r="T72" s="107">
        <f t="shared" si="34"/>
        <v>5.5303834394828115</v>
      </c>
      <c r="U72" s="110">
        <f t="shared" si="35"/>
        <v>-5.5303834394828115</v>
      </c>
      <c r="V72" s="113">
        <f t="shared" si="38"/>
        <v>0.6023639773718745</v>
      </c>
      <c r="W72" s="110">
        <f t="shared" si="39"/>
        <v>49.996371444723515</v>
      </c>
    </row>
    <row r="73" spans="9:23" ht="12.75">
      <c r="I73" s="95">
        <v>69</v>
      </c>
      <c r="J73" s="92">
        <f t="shared" si="36"/>
        <v>89.4128976661936</v>
      </c>
      <c r="K73" s="98">
        <f t="shared" si="26"/>
        <v>0.08958091699608489</v>
      </c>
      <c r="L73" s="92">
        <f t="shared" si="37"/>
        <v>0.3825620683664325</v>
      </c>
      <c r="M73" s="101">
        <f t="shared" si="27"/>
        <v>7.777437373745076</v>
      </c>
      <c r="N73" s="101">
        <f t="shared" si="28"/>
        <v>0.4919427788975229</v>
      </c>
      <c r="O73" s="98">
        <f t="shared" si="29"/>
        <v>0.2062823247571149</v>
      </c>
      <c r="P73" s="104">
        <f t="shared" si="30"/>
        <v>44.52718992720526</v>
      </c>
      <c r="Q73" s="107">
        <f t="shared" si="31"/>
        <v>3.999490524165874</v>
      </c>
      <c r="R73" s="110">
        <f t="shared" si="32"/>
        <v>-3.999490524165874</v>
      </c>
      <c r="S73" s="104">
        <f t="shared" si="33"/>
        <v>38.56654974677896</v>
      </c>
      <c r="T73" s="107">
        <f t="shared" si="34"/>
        <v>5.5574036775392734</v>
      </c>
      <c r="U73" s="110">
        <f t="shared" si="35"/>
        <v>-5.5574036775392734</v>
      </c>
      <c r="V73" s="113">
        <f t="shared" si="38"/>
        <v>0.6367847760788388</v>
      </c>
      <c r="W73" s="110">
        <f t="shared" si="39"/>
        <v>49.995944887050136</v>
      </c>
    </row>
    <row r="74" spans="9:23" ht="12.75">
      <c r="I74" s="95">
        <v>70</v>
      </c>
      <c r="J74" s="92">
        <f t="shared" si="36"/>
        <v>89.2572049848141</v>
      </c>
      <c r="K74" s="98">
        <f t="shared" si="26"/>
        <v>0.09017397721192139</v>
      </c>
      <c r="L74" s="92">
        <f t="shared" si="37"/>
        <v>0.3702213564836443</v>
      </c>
      <c r="M74" s="101">
        <f t="shared" si="27"/>
        <v>7.775713689262721</v>
      </c>
      <c r="N74" s="101">
        <f t="shared" si="28"/>
        <v>0.4751673589532821</v>
      </c>
      <c r="O74" s="98">
        <f t="shared" si="29"/>
        <v>0.2049029631765564</v>
      </c>
      <c r="P74" s="104">
        <f t="shared" si="30"/>
        <v>44.447280100747655</v>
      </c>
      <c r="Q74" s="107">
        <f t="shared" si="31"/>
        <v>4.018886919404668</v>
      </c>
      <c r="R74" s="110">
        <f t="shared" si="32"/>
        <v>-4.018886919404668</v>
      </c>
      <c r="S74" s="104">
        <f t="shared" si="33"/>
        <v>38.54867393889012</v>
      </c>
      <c r="T74" s="107">
        <f t="shared" si="34"/>
        <v>5.5845700338693485</v>
      </c>
      <c r="U74" s="110">
        <f t="shared" si="35"/>
        <v>-5.5845700338693485</v>
      </c>
      <c r="V74" s="113">
        <f t="shared" si="38"/>
        <v>0.671205574785803</v>
      </c>
      <c r="W74" s="110">
        <f t="shared" si="39"/>
        <v>49.995494627779976</v>
      </c>
    </row>
    <row r="75" spans="9:23" ht="12.75">
      <c r="I75" s="95">
        <v>71</v>
      </c>
      <c r="J75" s="92">
        <f t="shared" si="36"/>
        <v>89.10151230343459</v>
      </c>
      <c r="K75" s="98">
        <f t="shared" si="26"/>
        <v>0.09075801957475971</v>
      </c>
      <c r="L75" s="92">
        <f t="shared" si="37"/>
        <v>0.3578806446008561</v>
      </c>
      <c r="M75" s="101">
        <f t="shared" si="27"/>
        <v>7.774043954554945</v>
      </c>
      <c r="N75" s="101">
        <f t="shared" si="28"/>
        <v>0.4584893591258955</v>
      </c>
      <c r="O75" s="98">
        <f t="shared" si="29"/>
        <v>0.20353675259453716</v>
      </c>
      <c r="P75" s="104">
        <f t="shared" si="30"/>
        <v>44.36739937022033</v>
      </c>
      <c r="Q75" s="107">
        <f t="shared" si="31"/>
        <v>4.037789842617996</v>
      </c>
      <c r="R75" s="110">
        <f t="shared" si="32"/>
        <v>-4.037789842617996</v>
      </c>
      <c r="S75" s="104">
        <f t="shared" si="33"/>
        <v>38.53123533850781</v>
      </c>
      <c r="T75" s="107">
        <f t="shared" si="34"/>
        <v>5.611880325089444</v>
      </c>
      <c r="U75" s="110">
        <f t="shared" si="35"/>
        <v>-5.611880325089444</v>
      </c>
      <c r="V75" s="113">
        <f t="shared" si="38"/>
        <v>0.7056263734927672</v>
      </c>
      <c r="W75" s="110">
        <f t="shared" si="39"/>
        <v>49.99502066627267</v>
      </c>
    </row>
    <row r="76" spans="9:23" ht="12.75">
      <c r="I76" s="95">
        <v>72</v>
      </c>
      <c r="J76" s="92">
        <f t="shared" si="36"/>
        <v>88.94581962205508</v>
      </c>
      <c r="K76" s="98">
        <f t="shared" si="26"/>
        <v>0.09133285414500841</v>
      </c>
      <c r="L76" s="92">
        <f t="shared" si="37"/>
        <v>0.34553993271806793</v>
      </c>
      <c r="M76" s="101">
        <f t="shared" si="27"/>
        <v>7.772428423907711</v>
      </c>
      <c r="N76" s="101">
        <f t="shared" si="28"/>
        <v>0.44190406917292374</v>
      </c>
      <c r="O76" s="98">
        <f t="shared" si="29"/>
        <v>0.20218309550010521</v>
      </c>
      <c r="P76" s="104">
        <f t="shared" si="30"/>
        <v>44.28754909759501</v>
      </c>
      <c r="Q76" s="107">
        <f t="shared" si="31"/>
        <v>4.056193041251967</v>
      </c>
      <c r="R76" s="110">
        <f t="shared" si="32"/>
        <v>-4.056193041251967</v>
      </c>
      <c r="S76" s="104">
        <f t="shared" si="33"/>
        <v>38.514231149455924</v>
      </c>
      <c r="T76" s="107">
        <f t="shared" si="34"/>
        <v>5.6393323402936115</v>
      </c>
      <c r="U76" s="110">
        <f t="shared" si="35"/>
        <v>-5.6393323402936115</v>
      </c>
      <c r="V76" s="113">
        <f t="shared" si="38"/>
        <v>0.7400471721997315</v>
      </c>
      <c r="W76" s="110">
        <f t="shared" si="39"/>
        <v>49.994523001854105</v>
      </c>
    </row>
    <row r="77" spans="9:23" ht="12.75">
      <c r="I77" s="95">
        <v>73</v>
      </c>
      <c r="J77" s="92">
        <f t="shared" si="36"/>
        <v>88.79012694067558</v>
      </c>
      <c r="K77" s="98">
        <f t="shared" si="26"/>
        <v>0.09189828135619638</v>
      </c>
      <c r="L77" s="92">
        <f t="shared" si="37"/>
        <v>0.33319922083527975</v>
      </c>
      <c r="M77" s="101">
        <f t="shared" si="27"/>
        <v>7.77086734335218</v>
      </c>
      <c r="N77" s="101">
        <f t="shared" si="28"/>
        <v>0.4254069485394959</v>
      </c>
      <c r="O77" s="98">
        <f t="shared" si="29"/>
        <v>0.20084141289346352</v>
      </c>
      <c r="P77" s="104">
        <f t="shared" si="30"/>
        <v>44.20773068191148</v>
      </c>
      <c r="Q77" s="107">
        <f t="shared" si="31"/>
        <v>4.07408989725347</v>
      </c>
      <c r="R77" s="110">
        <f t="shared" si="32"/>
        <v>-4.07408989725347</v>
      </c>
      <c r="S77" s="104">
        <f t="shared" si="33"/>
        <v>38.497658794674706</v>
      </c>
      <c r="T77" s="107">
        <f t="shared" si="34"/>
        <v>5.666923841457691</v>
      </c>
      <c r="U77" s="110">
        <f t="shared" si="35"/>
        <v>-5.666923841457691</v>
      </c>
      <c r="V77" s="113">
        <f t="shared" si="38"/>
        <v>0.7744679709066957</v>
      </c>
      <c r="W77" s="110">
        <f t="shared" si="39"/>
        <v>49.994001633816424</v>
      </c>
    </row>
    <row r="78" spans="9:23" ht="12.75">
      <c r="I78" s="95">
        <v>74</v>
      </c>
      <c r="J78" s="92">
        <f t="shared" si="36"/>
        <v>88.63443425929607</v>
      </c>
      <c r="K78" s="98">
        <f t="shared" si="26"/>
        <v>0.09245409115161002</v>
      </c>
      <c r="L78" s="92">
        <f t="shared" si="37"/>
        <v>0.3208585089524916</v>
      </c>
      <c r="M78" s="101">
        <f t="shared" si="27"/>
        <v>7.7693609506272425</v>
      </c>
      <c r="N78" s="101">
        <f t="shared" si="28"/>
        <v>0.4089936165459799</v>
      </c>
      <c r="O78" s="98">
        <f t="shared" si="29"/>
        <v>0.19951114320705585</v>
      </c>
      <c r="P78" s="104">
        <f t="shared" si="30"/>
        <v>44.12794556279522</v>
      </c>
      <c r="Q78" s="107">
        <f t="shared" si="31"/>
        <v>4.091473392721909</v>
      </c>
      <c r="R78" s="110">
        <f t="shared" si="32"/>
        <v>-4.091473392721909</v>
      </c>
      <c r="S78" s="104">
        <f t="shared" si="33"/>
        <v>38.48151590261955</v>
      </c>
      <c r="T78" s="107">
        <f t="shared" si="34"/>
        <v>5.694652563950582</v>
      </c>
      <c r="U78" s="110">
        <f t="shared" si="35"/>
        <v>-5.694652563950582</v>
      </c>
      <c r="V78" s="113">
        <f t="shared" si="38"/>
        <v>0.80888876961366</v>
      </c>
      <c r="W78" s="110">
        <f t="shared" si="39"/>
        <v>49.99345656141804</v>
      </c>
    </row>
    <row r="79" spans="9:23" ht="12.75">
      <c r="I79" s="95">
        <v>75</v>
      </c>
      <c r="J79" s="92">
        <f t="shared" si="36"/>
        <v>88.47874157791657</v>
      </c>
      <c r="K79" s="98">
        <f t="shared" si="26"/>
        <v>0.09300006200702166</v>
      </c>
      <c r="L79" s="92">
        <f t="shared" si="37"/>
        <v>0.3085177970697034</v>
      </c>
      <c r="M79" s="101">
        <f t="shared" si="27"/>
        <v>7.767909475143308</v>
      </c>
      <c r="N79" s="101">
        <f t="shared" si="28"/>
        <v>0.39265984308640717</v>
      </c>
      <c r="O79" s="98">
        <f t="shared" si="29"/>
        <v>0.1981917412834537</v>
      </c>
      <c r="P79" s="104">
        <f t="shared" si="30"/>
        <v>44.04819522444792</v>
      </c>
      <c r="Q79" s="107">
        <f t="shared" si="31"/>
        <v>4.108336070948797</v>
      </c>
      <c r="R79" s="110">
        <f t="shared" si="32"/>
        <v>-4.108336070948797</v>
      </c>
      <c r="S79" s="104">
        <f t="shared" si="33"/>
        <v>38.46580029460447</v>
      </c>
      <c r="T79" s="107">
        <f t="shared" si="34"/>
        <v>5.722516217141949</v>
      </c>
      <c r="U79" s="110">
        <f t="shared" si="35"/>
        <v>-5.722516217141949</v>
      </c>
      <c r="V79" s="113">
        <f t="shared" si="38"/>
        <v>0.8433095683206242</v>
      </c>
      <c r="W79" s="110">
        <f t="shared" si="39"/>
        <v>49.99288778388361</v>
      </c>
    </row>
    <row r="80" spans="9:23" ht="12.75">
      <c r="I80" s="95">
        <v>76</v>
      </c>
      <c r="J80" s="92">
        <f t="shared" si="36"/>
        <v>88.32304889653706</v>
      </c>
      <c r="K80" s="98">
        <f t="shared" si="26"/>
        <v>0.09353595981933671</v>
      </c>
      <c r="L80" s="92">
        <f t="shared" si="37"/>
        <v>0.2961770851869152</v>
      </c>
      <c r="M80" s="101">
        <f t="shared" si="27"/>
        <v>7.766513137947374</v>
      </c>
      <c r="N80" s="101">
        <f t="shared" si="28"/>
        <v>0.37640153980036006</v>
      </c>
      <c r="O80" s="98">
        <f t="shared" si="29"/>
        <v>0.19688267740589893</v>
      </c>
      <c r="P80" s="104">
        <f t="shared" si="30"/>
        <v>43.96848120019547</v>
      </c>
      <c r="Q80" s="107">
        <f t="shared" si="31"/>
        <v>4.124669992020734</v>
      </c>
      <c r="R80" s="110">
        <f t="shared" si="32"/>
        <v>-4.124669992020734</v>
      </c>
      <c r="S80" s="104">
        <f t="shared" si="33"/>
        <v>38.45050997302344</v>
      </c>
      <c r="T80" s="107">
        <f t="shared" si="34"/>
        <v>5.7505124850969525</v>
      </c>
      <c r="U80" s="110">
        <f t="shared" si="35"/>
        <v>-5.7505124850969525</v>
      </c>
      <c r="V80" s="113">
        <f t="shared" si="38"/>
        <v>0.8777303670275884</v>
      </c>
      <c r="W80" s="110">
        <f t="shared" si="39"/>
        <v>49.99229530040402</v>
      </c>
    </row>
    <row r="81" spans="9:23" ht="12.75">
      <c r="I81" s="95">
        <v>77</v>
      </c>
      <c r="J81" s="92">
        <f t="shared" si="36"/>
        <v>88.16735621515755</v>
      </c>
      <c r="K81" s="98">
        <f t="shared" si="26"/>
        <v>0.09406153663642863</v>
      </c>
      <c r="L81" s="92">
        <f t="shared" si="37"/>
        <v>0.28383637330412703</v>
      </c>
      <c r="M81" s="101">
        <f t="shared" si="27"/>
        <v>7.7651721516893595</v>
      </c>
      <c r="N81" s="101">
        <f t="shared" si="28"/>
        <v>0.36021475168375616</v>
      </c>
      <c r="O81" s="98">
        <f t="shared" si="29"/>
        <v>0.19558343637765974</v>
      </c>
      <c r="P81" s="104">
        <f t="shared" si="30"/>
        <v>43.88880507769703</v>
      </c>
      <c r="Q81" s="107">
        <f t="shared" si="31"/>
        <v>4.140466681973894</v>
      </c>
      <c r="R81" s="110">
        <f t="shared" si="32"/>
        <v>-4.140466681973894</v>
      </c>
      <c r="S81" s="104">
        <f t="shared" si="33"/>
        <v>38.43564311038848</v>
      </c>
      <c r="T81" s="107">
        <f t="shared" si="34"/>
        <v>5.778639027349763</v>
      </c>
      <c r="U81" s="110">
        <f t="shared" si="35"/>
        <v>-5.778639027349763</v>
      </c>
      <c r="V81" s="113">
        <f t="shared" si="38"/>
        <v>0.9121511657345527</v>
      </c>
      <c r="W81" s="110">
        <f t="shared" si="39"/>
        <v>49.99167911013641</v>
      </c>
    </row>
    <row r="82" spans="9:23" ht="12.75">
      <c r="I82" s="95">
        <v>78</v>
      </c>
      <c r="J82" s="92">
        <f t="shared" si="36"/>
        <v>88.01166353377805</v>
      </c>
      <c r="K82" s="98">
        <f t="shared" si="26"/>
        <v>0.0945765291976074</v>
      </c>
      <c r="L82" s="92">
        <f t="shared" si="37"/>
        <v>0.27149566142133885</v>
      </c>
      <c r="M82" s="101">
        <f t="shared" si="27"/>
        <v>7.763886720589721</v>
      </c>
      <c r="N82" s="101">
        <f t="shared" si="28"/>
        <v>0.34409564910644025</v>
      </c>
      <c r="O82" s="98">
        <f t="shared" si="29"/>
        <v>0.19429351664663266</v>
      </c>
      <c r="P82" s="104">
        <f t="shared" si="30"/>
        <v>43.80916850494356</v>
      </c>
      <c r="Q82" s="107">
        <f t="shared" si="31"/>
        <v>4.155717074248501</v>
      </c>
      <c r="R82" s="110">
        <f t="shared" si="32"/>
        <v>-4.155717074248501</v>
      </c>
      <c r="S82" s="104">
        <f t="shared" si="33"/>
        <v>38.42119803912859</v>
      </c>
      <c r="T82" s="107">
        <f t="shared" si="34"/>
        <v>5.806893479748565</v>
      </c>
      <c r="U82" s="110">
        <f t="shared" si="35"/>
        <v>-5.806893479748565</v>
      </c>
      <c r="V82" s="113">
        <f t="shared" si="38"/>
        <v>0.9465719644415169</v>
      </c>
      <c r="W82" s="110">
        <f t="shared" si="39"/>
        <v>49.99103921220416</v>
      </c>
    </row>
    <row r="83" spans="9:23" ht="12.75">
      <c r="I83" s="95">
        <v>79</v>
      </c>
      <c r="J83" s="92">
        <f t="shared" si="36"/>
        <v>87.85597085239854</v>
      </c>
      <c r="K83" s="98">
        <f t="shared" si="26"/>
        <v>0.09508065724664483</v>
      </c>
      <c r="L83" s="92">
        <f t="shared" si="37"/>
        <v>0.25915494953855067</v>
      </c>
      <c r="M83" s="101">
        <f t="shared" si="27"/>
        <v>7.762657040408349</v>
      </c>
      <c r="N83" s="101">
        <f t="shared" si="28"/>
        <v>0.3280405202067577</v>
      </c>
      <c r="O83" s="98">
        <f t="shared" si="29"/>
        <v>0.19301242947187536</v>
      </c>
      <c r="P83" s="104">
        <f t="shared" si="30"/>
        <v>43.729573197205966</v>
      </c>
      <c r="Q83" s="107">
        <f t="shared" si="31"/>
        <v>4.170411441882071</v>
      </c>
      <c r="R83" s="110">
        <f t="shared" si="32"/>
        <v>-4.170411441882071</v>
      </c>
      <c r="S83" s="104">
        <f t="shared" si="33"/>
        <v>38.40717324209859</v>
      </c>
      <c r="T83" s="107">
        <f t="shared" si="34"/>
        <v>5.835273455365795</v>
      </c>
      <c r="U83" s="110">
        <f t="shared" si="35"/>
        <v>-5.835273455365795</v>
      </c>
      <c r="V83" s="113">
        <f t="shared" si="38"/>
        <v>0.9809927631484812</v>
      </c>
      <c r="W83" s="110">
        <f t="shared" si="39"/>
        <v>49.99037560569685</v>
      </c>
    </row>
    <row r="84" spans="9:23" ht="12.75">
      <c r="I84" s="95">
        <v>80</v>
      </c>
      <c r="J84" s="92">
        <f t="shared" si="36"/>
        <v>87.70027817101904</v>
      </c>
      <c r="K84" s="98">
        <f t="shared" si="26"/>
        <v>0.09557362156946336</v>
      </c>
      <c r="L84" s="92">
        <f t="shared" si="37"/>
        <v>0.2468142376557625</v>
      </c>
      <c r="M84" s="101">
        <f t="shared" si="27"/>
        <v>7.7614832984147615</v>
      </c>
      <c r="N84" s="101">
        <f t="shared" si="28"/>
        <v>0.312045763635348</v>
      </c>
      <c r="O84" s="98">
        <f t="shared" si="29"/>
        <v>0.19173969812898256</v>
      </c>
      <c r="P84" s="104">
        <f t="shared" si="30"/>
        <v>43.650020945134294</v>
      </c>
      <c r="Q84" s="107">
        <f t="shared" si="31"/>
        <v>4.1845393184754585</v>
      </c>
      <c r="R84" s="110">
        <f t="shared" si="32"/>
        <v>-4.1845393184754585</v>
      </c>
      <c r="S84" s="104">
        <f t="shared" si="33"/>
        <v>38.39356734375136</v>
      </c>
      <c r="T84" s="107">
        <f t="shared" si="34"/>
        <v>5.863776545468026</v>
      </c>
      <c r="U84" s="110">
        <f t="shared" si="35"/>
        <v>-5.863776545468026</v>
      </c>
      <c r="V84" s="113">
        <f t="shared" si="38"/>
        <v>1.0154135618554454</v>
      </c>
      <c r="W84" s="110">
        <f t="shared" si="39"/>
        <v>49.989688289670305</v>
      </c>
    </row>
    <row r="85" spans="9:23" ht="12.75">
      <c r="I85" s="95">
        <v>81</v>
      </c>
      <c r="J85" s="92">
        <f t="shared" si="36"/>
        <v>87.54458548963953</v>
      </c>
      <c r="K85" s="98">
        <f t="shared" si="26"/>
        <v>0.09605510169563675</v>
      </c>
      <c r="L85" s="92">
        <f t="shared" si="37"/>
        <v>0.2344735257729743</v>
      </c>
      <c r="M85" s="101">
        <f t="shared" si="27"/>
        <v>7.760365673359578</v>
      </c>
      <c r="N85" s="101">
        <f t="shared" si="28"/>
        <v>0.2961078816222721</v>
      </c>
      <c r="O85" s="98">
        <f t="shared" si="29"/>
        <v>0.1904748571514291</v>
      </c>
      <c r="P85" s="104">
        <f t="shared" si="30"/>
        <v>43.57051362426437</v>
      </c>
      <c r="Q85" s="107">
        <f t="shared" si="31"/>
        <v>4.198089405431231</v>
      </c>
      <c r="R85" s="110">
        <f t="shared" si="32"/>
        <v>-4.198089405431231</v>
      </c>
      <c r="S85" s="104">
        <f t="shared" si="33"/>
        <v>38.3803791019305</v>
      </c>
      <c r="T85" s="107">
        <f t="shared" si="34"/>
        <v>5.892400320540732</v>
      </c>
      <c r="U85" s="110">
        <f t="shared" si="35"/>
        <v>-5.892400320540732</v>
      </c>
      <c r="V85" s="113">
        <f t="shared" si="38"/>
        <v>1.0498343605624096</v>
      </c>
      <c r="W85" s="110">
        <f t="shared" si="39"/>
        <v>49.98897726314655</v>
      </c>
    </row>
    <row r="86" spans="9:23" ht="12.75">
      <c r="I86" s="95">
        <v>82</v>
      </c>
      <c r="J86" s="92">
        <f t="shared" si="36"/>
        <v>87.38889280826002</v>
      </c>
      <c r="K86" s="98">
        <f t="shared" si="26"/>
        <v>0.09652475318553022</v>
      </c>
      <c r="L86" s="92">
        <f t="shared" si="37"/>
        <v>0.22213281389018613</v>
      </c>
      <c r="M86" s="101">
        <f t="shared" si="27"/>
        <v>7.7593043354473</v>
      </c>
      <c r="N86" s="101">
        <f t="shared" si="28"/>
        <v>0.28022347334331155</v>
      </c>
      <c r="O86" s="98">
        <f t="shared" si="29"/>
        <v>0.18921745160519135</v>
      </c>
      <c r="P86" s="104">
        <f t="shared" si="30"/>
        <v>43.49105320626169</v>
      </c>
      <c r="Q86" s="107">
        <f t="shared" si="31"/>
        <v>4.211049462248705</v>
      </c>
      <c r="R86" s="110">
        <f t="shared" si="32"/>
        <v>-4.211049462248705</v>
      </c>
      <c r="S86" s="104">
        <f t="shared" si="33"/>
        <v>38.367607400244914</v>
      </c>
      <c r="T86" s="107">
        <f t="shared" si="34"/>
        <v>5.921142331363791</v>
      </c>
      <c r="U86" s="110">
        <f t="shared" si="35"/>
        <v>-5.921142331363791</v>
      </c>
      <c r="V86" s="113">
        <f t="shared" si="38"/>
        <v>1.0842551592693739</v>
      </c>
      <c r="W86" s="110">
        <f t="shared" si="39"/>
        <v>49.98824252511382</v>
      </c>
    </row>
    <row r="87" spans="9:23" ht="12.75">
      <c r="I87" s="95">
        <v>83</v>
      </c>
      <c r="J87" s="92">
        <f t="shared" si="36"/>
        <v>87.23320012688052</v>
      </c>
      <c r="K87" s="98">
        <f t="shared" si="26"/>
        <v>0.09698220440142907</v>
      </c>
      <c r="L87" s="92">
        <f t="shared" si="37"/>
        <v>0.20979210200739795</v>
      </c>
      <c r="M87" s="101">
        <f t="shared" si="27"/>
        <v>7.758299446310392</v>
      </c>
      <c r="N87" s="101">
        <f t="shared" si="28"/>
        <v>0.26438922856283276</v>
      </c>
      <c r="O87" s="98">
        <f t="shared" si="29"/>
        <v>0.1879670363941355</v>
      </c>
      <c r="P87" s="104">
        <f t="shared" si="30"/>
        <v>43.41164177233157</v>
      </c>
      <c r="Q87" s="107">
        <f t="shared" si="31"/>
        <v>4.223406175689655</v>
      </c>
      <c r="R87" s="110">
        <f t="shared" si="32"/>
        <v>-4.223406175689655</v>
      </c>
      <c r="S87" s="104">
        <f t="shared" si="33"/>
        <v>38.35525124098926</v>
      </c>
      <c r="T87" s="107">
        <f t="shared" si="34"/>
        <v>5.950000110134136</v>
      </c>
      <c r="U87" s="110">
        <f t="shared" si="35"/>
        <v>-5.950000110134136</v>
      </c>
      <c r="V87" s="113">
        <f t="shared" si="38"/>
        <v>1.1186759579763381</v>
      </c>
      <c r="W87" s="110">
        <f t="shared" si="39"/>
        <v>49.987484074526556</v>
      </c>
    </row>
    <row r="88" spans="9:23" ht="12.75">
      <c r="I88" s="95">
        <v>84</v>
      </c>
      <c r="J88" s="92">
        <f t="shared" si="36"/>
        <v>87.07750744550101</v>
      </c>
      <c r="K88" s="98">
        <f t="shared" si="26"/>
        <v>0.09742705262870319</v>
      </c>
      <c r="L88" s="92">
        <f t="shared" si="37"/>
        <v>0.19745139012460977</v>
      </c>
      <c r="M88" s="101">
        <f t="shared" si="27"/>
        <v>7.7573511589846635</v>
      </c>
      <c r="N88" s="101">
        <f t="shared" si="28"/>
        <v>0.24860192153204347</v>
      </c>
      <c r="O88" s="98">
        <f t="shared" si="29"/>
        <v>0.18672317559381665</v>
      </c>
      <c r="P88" s="104">
        <f t="shared" si="30"/>
        <v>43.33228152936188</v>
      </c>
      <c r="Q88" s="107">
        <f t="shared" si="31"/>
        <v>4.235145002292668</v>
      </c>
      <c r="R88" s="110">
        <f t="shared" si="32"/>
        <v>-4.235145002292668</v>
      </c>
      <c r="S88" s="104">
        <f t="shared" si="33"/>
        <v>38.34330973857813</v>
      </c>
      <c r="T88" s="107">
        <f t="shared" si="34"/>
        <v>5.978971171632535</v>
      </c>
      <c r="U88" s="110">
        <f t="shared" si="35"/>
        <v>-5.978971171632535</v>
      </c>
      <c r="V88" s="113">
        <f t="shared" si="38"/>
        <v>1.1530967566833024</v>
      </c>
      <c r="W88" s="110">
        <f t="shared" si="39"/>
        <v>49.98670191030537</v>
      </c>
    </row>
    <row r="89" spans="9:23" ht="12.75">
      <c r="I89" s="95">
        <v>85</v>
      </c>
      <c r="J89" s="92">
        <f t="shared" si="36"/>
        <v>86.9218147641215</v>
      </c>
      <c r="K89" s="98">
        <f t="shared" si="26"/>
        <v>0.09785885936785577</v>
      </c>
      <c r="L89" s="92">
        <f t="shared" si="37"/>
        <v>0.1851106782418216</v>
      </c>
      <c r="M89" s="101">
        <f t="shared" si="27"/>
        <v>7.756459617885964</v>
      </c>
      <c r="N89" s="101">
        <f t="shared" si="28"/>
        <v>0.232858405122764</v>
      </c>
      <c r="O89" s="98">
        <f t="shared" si="29"/>
        <v>0.18548544181147958</v>
      </c>
      <c r="P89" s="104">
        <f t="shared" si="30"/>
        <v>43.25297482955622</v>
      </c>
      <c r="Q89" s="107">
        <f t="shared" si="31"/>
        <v>4.246249976842961</v>
      </c>
      <c r="R89" s="110">
        <f t="shared" si="32"/>
        <v>-4.246249976842961</v>
      </c>
      <c r="S89" s="104">
        <f t="shared" si="33"/>
        <v>38.33178211346395</v>
      </c>
      <c r="T89" s="107">
        <f t="shared" si="34"/>
        <v>6.008053014431935</v>
      </c>
      <c r="U89" s="110">
        <f t="shared" si="35"/>
        <v>-6.008053014431935</v>
      </c>
      <c r="V89" s="113">
        <f t="shared" si="38"/>
        <v>1.1875175553902666</v>
      </c>
      <c r="W89" s="110">
        <f t="shared" si="39"/>
        <v>49.98589603133708</v>
      </c>
    </row>
    <row r="90" spans="9:23" ht="12.75">
      <c r="I90" s="95">
        <v>86</v>
      </c>
      <c r="J90" s="92">
        <f t="shared" si="36"/>
        <v>86.766122082742</v>
      </c>
      <c r="K90" s="98">
        <f t="shared" si="26"/>
        <v>0.09827714455387107</v>
      </c>
      <c r="L90" s="92">
        <f t="shared" si="37"/>
        <v>0.1727699663590334</v>
      </c>
      <c r="M90" s="101">
        <f t="shared" si="27"/>
        <v>7.75562495878819</v>
      </c>
      <c r="N90" s="101">
        <f t="shared" si="28"/>
        <v>0.21715560517801963</v>
      </c>
      <c r="O90" s="98">
        <f t="shared" si="29"/>
        <v>0.18425341557018163</v>
      </c>
      <c r="P90" s="104">
        <f t="shared" si="30"/>
        <v>43.17372419458944</v>
      </c>
      <c r="Q90" s="107">
        <f t="shared" si="31"/>
        <v>4.256703476734657</v>
      </c>
      <c r="R90" s="110">
        <f t="shared" si="32"/>
        <v>-4.256703476734657</v>
      </c>
      <c r="S90" s="104">
        <f t="shared" si="33"/>
        <v>38.32066768651186</v>
      </c>
      <c r="T90" s="107">
        <f t="shared" si="34"/>
        <v>6.037243122145196</v>
      </c>
      <c r="U90" s="110">
        <f t="shared" si="35"/>
        <v>-6.037243122145196</v>
      </c>
      <c r="V90" s="113">
        <f t="shared" si="38"/>
        <v>1.2219383540972308</v>
      </c>
      <c r="W90" s="110">
        <f t="shared" si="39"/>
        <v>49.98506643647467</v>
      </c>
    </row>
    <row r="91" spans="9:23" ht="12.75">
      <c r="I91" s="95">
        <v>87</v>
      </c>
      <c r="J91" s="92">
        <f t="shared" si="36"/>
        <v>86.6104294013625</v>
      </c>
      <c r="K91" s="98">
        <f t="shared" si="26"/>
        <v>0.09868137936549334</v>
      </c>
      <c r="L91" s="92">
        <f t="shared" si="37"/>
        <v>0.16042925447624523</v>
      </c>
      <c r="M91" s="101">
        <f t="shared" si="27"/>
        <v>7.754847308802609</v>
      </c>
      <c r="N91" s="101">
        <f t="shared" si="28"/>
        <v>0.20149051506183638</v>
      </c>
      <c r="O91" s="98">
        <f t="shared" si="29"/>
        <v>0.1830266847150784</v>
      </c>
      <c r="P91" s="104">
        <f t="shared" si="30"/>
        <v>43.094532345715784</v>
      </c>
      <c r="Q91" s="107">
        <f t="shared" si="31"/>
        <v>4.2664859282733945</v>
      </c>
      <c r="R91" s="110">
        <f t="shared" si="32"/>
        <v>-4.2664859282733945</v>
      </c>
      <c r="S91" s="104">
        <f t="shared" si="33"/>
        <v>38.30996587380655</v>
      </c>
      <c r="T91" s="107">
        <f t="shared" si="34"/>
        <v>6.066538964710514</v>
      </c>
      <c r="U91" s="110">
        <f t="shared" si="35"/>
        <v>-6.066538964710514</v>
      </c>
      <c r="V91" s="113">
        <f t="shared" si="38"/>
        <v>1.256359152804195</v>
      </c>
      <c r="W91" s="110">
        <f t="shared" si="39"/>
        <v>49.984213124537284</v>
      </c>
    </row>
    <row r="92" spans="9:23" ht="12.75">
      <c r="I92" s="95">
        <v>88</v>
      </c>
      <c r="J92" s="92">
        <f t="shared" si="36"/>
        <v>86.45473671998299</v>
      </c>
      <c r="K92" s="98">
        <f t="shared" si="26"/>
        <v>0.09907097714731</v>
      </c>
      <c r="L92" s="92">
        <f t="shared" si="37"/>
        <v>0.14808854259345705</v>
      </c>
      <c r="M92" s="101">
        <f t="shared" si="27"/>
        <v>7.754126786358499</v>
      </c>
      <c r="N92" s="101">
        <f t="shared" si="28"/>
        <v>0.18586019039159904</v>
      </c>
      <c r="O92" s="98">
        <f t="shared" si="29"/>
        <v>0.18180484384002188</v>
      </c>
      <c r="P92" s="104">
        <f t="shared" si="30"/>
        <v>43.01540224185515</v>
      </c>
      <c r="Q92" s="107">
        <f t="shared" si="31"/>
        <v>4.275575435166165</v>
      </c>
      <c r="R92" s="110">
        <f t="shared" si="32"/>
        <v>-4.275575435166165</v>
      </c>
      <c r="S92" s="104">
        <f t="shared" si="33"/>
        <v>38.299676181868996</v>
      </c>
      <c r="T92" s="107">
        <f t="shared" si="34"/>
        <v>6.095937999713101</v>
      </c>
      <c r="U92" s="110">
        <f t="shared" si="35"/>
        <v>-6.095937999713101</v>
      </c>
      <c r="V92" s="113">
        <f t="shared" si="38"/>
        <v>1.2907799515111593</v>
      </c>
      <c r="W92" s="110">
        <f t="shared" si="39"/>
        <v>49.98333609431024</v>
      </c>
    </row>
    <row r="93" spans="9:23" ht="12.75">
      <c r="I93" s="95">
        <v>89</v>
      </c>
      <c r="J93" s="92">
        <f t="shared" si="36"/>
        <v>86.29904403860348</v>
      </c>
      <c r="K93" s="98">
        <f t="shared" si="26"/>
        <v>0.09944528175361228</v>
      </c>
      <c r="L93" s="92">
        <f t="shared" si="37"/>
        <v>0.13574783071066887</v>
      </c>
      <c r="M93" s="101">
        <f t="shared" si="27"/>
        <v>7.753463501185114</v>
      </c>
      <c r="N93" s="101">
        <f t="shared" si="28"/>
        <v>0.1702617439372153</v>
      </c>
      <c r="O93" s="98">
        <f t="shared" si="29"/>
        <v>0.18058749373271796</v>
      </c>
      <c r="P93" s="104">
        <f t="shared" si="30"/>
        <v>42.93633712859349</v>
      </c>
      <c r="Q93" s="107">
        <f t="shared" si="31"/>
        <v>4.283947300559336</v>
      </c>
      <c r="R93" s="110">
        <f t="shared" si="32"/>
        <v>-4.283947300559336</v>
      </c>
      <c r="S93" s="104">
        <f t="shared" si="33"/>
        <v>38.28979820326242</v>
      </c>
      <c r="T93" s="107">
        <f t="shared" si="34"/>
        <v>6.1254376737420575</v>
      </c>
      <c r="U93" s="110">
        <f t="shared" si="35"/>
        <v>-6.1254376737420575</v>
      </c>
      <c r="V93" s="113">
        <f t="shared" si="38"/>
        <v>1.3252007502181236</v>
      </c>
      <c r="W93" s="110">
        <f t="shared" si="39"/>
        <v>49.982435344545</v>
      </c>
    </row>
    <row r="94" spans="9:23" ht="12.75">
      <c r="I94" s="95">
        <v>90</v>
      </c>
      <c r="J94" s="92">
        <f t="shared" si="36"/>
        <v>86.14335135722398</v>
      </c>
      <c r="K94" s="98">
        <f t="shared" si="26"/>
        <v>0.09980355228543791</v>
      </c>
      <c r="L94" s="92">
        <f t="shared" si="37"/>
        <v>0.12340711882788068</v>
      </c>
      <c r="M94" s="101">
        <f t="shared" si="27"/>
        <v>7.752857554294973</v>
      </c>
      <c r="N94" s="101">
        <f t="shared" si="28"/>
        <v>0.15469234067213</v>
      </c>
      <c r="O94" s="98">
        <f t="shared" si="29"/>
        <v>0.17937424083678025</v>
      </c>
      <c r="P94" s="104">
        <f t="shared" si="30"/>
        <v>42.857340602472945</v>
      </c>
      <c r="Q94" s="107">
        <f t="shared" si="31"/>
        <v>4.291573399950078</v>
      </c>
      <c r="R94" s="110">
        <f t="shared" si="32"/>
        <v>-4.291573399950078</v>
      </c>
      <c r="S94" s="104">
        <f t="shared" si="33"/>
        <v>38.28033161256932</v>
      </c>
      <c r="T94" s="107">
        <f t="shared" si="34"/>
        <v>6.155035423781676</v>
      </c>
      <c r="U94" s="110">
        <f t="shared" si="35"/>
        <v>-6.155035423781676</v>
      </c>
      <c r="V94" s="113">
        <f t="shared" si="38"/>
        <v>1.3596215489250878</v>
      </c>
      <c r="W94" s="110">
        <f t="shared" si="39"/>
        <v>49.98151087395917</v>
      </c>
    </row>
    <row r="95" spans="9:23" ht="12.75">
      <c r="I95" s="95">
        <v>91</v>
      </c>
      <c r="J95" s="92">
        <f t="shared" si="36"/>
        <v>85.98765867584447</v>
      </c>
      <c r="K95" s="98">
        <f t="shared" si="26"/>
        <v>0.1001449426402014</v>
      </c>
      <c r="L95" s="92">
        <f t="shared" si="37"/>
        <v>0.11106640694509248</v>
      </c>
      <c r="M95" s="101">
        <f t="shared" si="27"/>
        <v>7.7523090379684785</v>
      </c>
      <c r="N95" s="101">
        <f t="shared" si="28"/>
        <v>0.139149192961956</v>
      </c>
      <c r="O95" s="98">
        <f t="shared" si="29"/>
        <v>0.17816469672909643</v>
      </c>
      <c r="P95" s="104">
        <f t="shared" si="30"/>
        <v>42.77841669730215</v>
      </c>
      <c r="Q95" s="107">
        <f t="shared" si="31"/>
        <v>4.298421339324857</v>
      </c>
      <c r="R95" s="110">
        <f t="shared" si="32"/>
        <v>-4.298421339324857</v>
      </c>
      <c r="S95" s="104">
        <f t="shared" si="33"/>
        <v>38.27127616272277</v>
      </c>
      <c r="T95" s="107">
        <f t="shared" si="34"/>
        <v>6.184728678636659</v>
      </c>
      <c r="U95" s="110">
        <f t="shared" si="35"/>
        <v>-6.184728678636659</v>
      </c>
      <c r="V95" s="113">
        <f t="shared" si="38"/>
        <v>1.394042347632052</v>
      </c>
      <c r="W95" s="110">
        <f t="shared" si="39"/>
        <v>49.98056268123648</v>
      </c>
    </row>
    <row r="96" spans="9:23" ht="12.75">
      <c r="I96" s="95">
        <v>92</v>
      </c>
      <c r="J96" s="92">
        <f t="shared" si="36"/>
        <v>85.83196599446497</v>
      </c>
      <c r="K96" s="98">
        <f t="shared" si="26"/>
        <v>0.10046847335220571</v>
      </c>
      <c r="L96" s="92">
        <f t="shared" si="37"/>
        <v>0.09872569506230429</v>
      </c>
      <c r="M96" s="101">
        <f t="shared" si="27"/>
        <v>7.751818035739859</v>
      </c>
      <c r="N96" s="101">
        <f t="shared" si="28"/>
        <v>0.123629555877134</v>
      </c>
      <c r="O96" s="98">
        <f t="shared" si="29"/>
        <v>0.17695847761099587</v>
      </c>
      <c r="P96" s="104">
        <f t="shared" si="30"/>
        <v>42.6995700032363</v>
      </c>
      <c r="Q96" s="107">
        <f t="shared" si="31"/>
        <v>4.304453293679695</v>
      </c>
      <c r="R96" s="110">
        <f t="shared" si="32"/>
        <v>-4.304453293679695</v>
      </c>
      <c r="S96" s="104">
        <f t="shared" si="33"/>
        <v>38.262631681677135</v>
      </c>
      <c r="T96" s="107">
        <f t="shared" si="34"/>
        <v>6.214514860391015</v>
      </c>
      <c r="U96" s="110">
        <f t="shared" si="35"/>
        <v>-6.214514860391015</v>
      </c>
      <c r="V96" s="113">
        <f t="shared" si="38"/>
        <v>1.4284631463390163</v>
      </c>
      <c r="W96" s="110">
        <f t="shared" si="39"/>
        <v>49.979590765026785</v>
      </c>
    </row>
    <row r="97" spans="9:23" ht="12.75">
      <c r="I97" s="95">
        <v>93</v>
      </c>
      <c r="J97" s="92">
        <f t="shared" si="36"/>
        <v>85.67627331308546</v>
      </c>
      <c r="K97" s="98">
        <f t="shared" si="26"/>
        <v>0.1007729915159051</v>
      </c>
      <c r="L97" s="92">
        <f t="shared" si="37"/>
        <v>0.0863849831795161</v>
      </c>
      <c r="M97" s="101">
        <f t="shared" si="27"/>
        <v>7.751384622384453</v>
      </c>
      <c r="N97" s="101">
        <f t="shared" si="28"/>
        <v>0.10813072261661416</v>
      </c>
      <c r="O97" s="98">
        <f t="shared" si="29"/>
        <v>0.17575520381177132</v>
      </c>
      <c r="P97" s="104">
        <f t="shared" si="30"/>
        <v>42.62080583658476</v>
      </c>
      <c r="Q97" s="107">
        <f t="shared" si="31"/>
        <v>4.309624350772636</v>
      </c>
      <c r="R97" s="110">
        <f t="shared" si="32"/>
        <v>-4.309624350772636</v>
      </c>
      <c r="S97" s="104">
        <f t="shared" si="33"/>
        <v>38.25439806940483</v>
      </c>
      <c r="T97" s="107">
        <f t="shared" si="34"/>
        <v>6.244391385900652</v>
      </c>
      <c r="U97" s="110">
        <f t="shared" si="35"/>
        <v>-6.244391385900652</v>
      </c>
      <c r="V97" s="113">
        <f t="shared" si="38"/>
        <v>1.4628839450459805</v>
      </c>
      <c r="W97" s="110">
        <f t="shared" si="39"/>
        <v>49.97859512394608</v>
      </c>
    </row>
    <row r="98" spans="9:23" ht="12.75">
      <c r="I98" s="95">
        <v>94</v>
      </c>
      <c r="J98" s="92">
        <f t="shared" si="36"/>
        <v>85.52058063170595</v>
      </c>
      <c r="K98" s="98">
        <f t="shared" si="26"/>
        <v>0.10105711137314385</v>
      </c>
      <c r="L98" s="92">
        <f t="shared" si="37"/>
        <v>0.0740442712967279</v>
      </c>
      <c r="M98" s="101">
        <f t="shared" si="27"/>
        <v>7.751008863907316</v>
      </c>
      <c r="N98" s="101">
        <f t="shared" si="28"/>
        <v>0.09265002003006531</v>
      </c>
      <c r="O98" s="98">
        <f t="shared" si="29"/>
        <v>0.17455449930316472</v>
      </c>
      <c r="P98" s="104">
        <f t="shared" si="30"/>
        <v>42.542130492038936</v>
      </c>
      <c r="Q98" s="107">
        <f t="shared" si="31"/>
        <v>4.313880050993635</v>
      </c>
      <c r="R98" s="110">
        <f t="shared" si="32"/>
        <v>-4.313880050993635</v>
      </c>
      <c r="S98" s="104">
        <f t="shared" si="33"/>
        <v>38.246575295207236</v>
      </c>
      <c r="T98" s="107">
        <f t="shared" si="34"/>
        <v>6.274355668319838</v>
      </c>
      <c r="U98" s="110">
        <f t="shared" si="35"/>
        <v>-6.274355668319838</v>
      </c>
      <c r="V98" s="113">
        <f t="shared" si="38"/>
        <v>1.4973047437529448</v>
      </c>
      <c r="W98" s="110">
        <f t="shared" si="39"/>
        <v>49.97757575657642</v>
      </c>
    </row>
    <row r="99" spans="9:23" ht="12.75">
      <c r="I99" s="95">
        <v>95</v>
      </c>
      <c r="J99" s="92">
        <f t="shared" si="36"/>
        <v>85.36488795032645</v>
      </c>
      <c r="K99" s="98">
        <f t="shared" si="26"/>
        <v>0.10131912155388567</v>
      </c>
      <c r="L99" s="92">
        <f t="shared" si="37"/>
        <v>0.061703559413939714</v>
      </c>
      <c r="M99" s="101">
        <f t="shared" si="27"/>
        <v>7.7506908175331715</v>
      </c>
      <c r="N99" s="101">
        <f t="shared" si="28"/>
        <v>0.07718480422657156</v>
      </c>
      <c r="O99" s="98">
        <f t="shared" si="29"/>
        <v>0.17335599122347733</v>
      </c>
      <c r="P99" s="104">
        <f t="shared" si="30"/>
        <v>42.463551637238076</v>
      </c>
      <c r="Q99" s="107">
        <f t="shared" si="31"/>
        <v>4.317152538950061</v>
      </c>
      <c r="R99" s="110">
        <f t="shared" si="32"/>
        <v>-4.317152538950061</v>
      </c>
      <c r="S99" s="104">
        <f t="shared" si="33"/>
        <v>38.23916339532941</v>
      </c>
      <c r="T99" s="107">
        <f t="shared" si="34"/>
        <v>6.304405118662022</v>
      </c>
      <c r="U99" s="110">
        <f t="shared" si="35"/>
        <v>-6.304405118662022</v>
      </c>
      <c r="V99" s="113">
        <f t="shared" si="38"/>
        <v>1.531725542459909</v>
      </c>
      <c r="W99" s="110">
        <f t="shared" si="39"/>
        <v>49.97653266146598</v>
      </c>
    </row>
    <row r="100" spans="9:23" ht="12.75">
      <c r="I100" s="95">
        <v>96</v>
      </c>
      <c r="J100" s="92">
        <f t="shared" si="36"/>
        <v>85.20919526894694</v>
      </c>
      <c r="K100" s="98">
        <f t="shared" si="26"/>
        <v>0.10155683004525924</v>
      </c>
      <c r="L100" s="92">
        <f t="shared" si="37"/>
        <v>0.04936284753115153</v>
      </c>
      <c r="M100" s="101">
        <f t="shared" si="27"/>
        <v>7.750430531697694</v>
      </c>
      <c r="N100" s="101">
        <f t="shared" si="28"/>
        <v>0.061732456258169525</v>
      </c>
      <c r="O100" s="98">
        <f t="shared" si="29"/>
        <v>0.17215930941000848</v>
      </c>
      <c r="P100" s="104">
        <f t="shared" si="30"/>
        <v>42.38507897351033</v>
      </c>
      <c r="Q100" s="107">
        <f t="shared" si="31"/>
        <v>4.319354118925071</v>
      </c>
      <c r="R100" s="110">
        <f t="shared" si="32"/>
        <v>-4.319354118925071</v>
      </c>
      <c r="S100" s="104">
        <f t="shared" si="33"/>
        <v>38.232162470869355</v>
      </c>
      <c r="T100" s="107">
        <f t="shared" si="34"/>
        <v>6.33453714739562</v>
      </c>
      <c r="U100" s="110">
        <f t="shared" si="35"/>
        <v>-6.33453714739562</v>
      </c>
      <c r="V100" s="113">
        <f t="shared" si="38"/>
        <v>1.5661463411668732</v>
      </c>
      <c r="W100" s="110">
        <f t="shared" si="39"/>
        <v>49.975465837129015</v>
      </c>
    </row>
    <row r="101" spans="9:23" ht="12.75">
      <c r="I101" s="95">
        <v>97</v>
      </c>
      <c r="J101" s="92">
        <f t="shared" si="36"/>
        <v>85.05350258756744</v>
      </c>
      <c r="K101" s="98">
        <f>ACOS($D$16/J101)-TAN(ACOS($D$16/J101))+$D$24</f>
        <v>0.10176727949246549</v>
      </c>
      <c r="L101" s="92">
        <f t="shared" si="37"/>
        <v>0.03702213564836334</v>
      </c>
      <c r="M101" s="101">
        <f>$D$9/(2*COS($D$8/180*PI()))-$D$25-$D$6*COS(L101)</f>
        <v>7.750228046040136</v>
      </c>
      <c r="N101" s="101">
        <f t="shared" si="28"/>
        <v>0.046290377866921056</v>
      </c>
      <c r="O101" s="98">
        <f t="shared" si="29"/>
        <v>0.17096408593856458</v>
      </c>
      <c r="P101" s="104">
        <f t="shared" si="30"/>
        <v>42.306725451656284</v>
      </c>
      <c r="Q101" s="107">
        <f>P101*TAN(K101)</f>
        <v>4.3203653967591</v>
      </c>
      <c r="R101" s="110">
        <f>-Q101</f>
        <v>-4.3203653967591</v>
      </c>
      <c r="S101" s="104">
        <f>(M101*COS(O101)+N101*SIN(O101))*$D$7</f>
        <v>38.225572685974164</v>
      </c>
      <c r="T101" s="107">
        <f t="shared" si="34"/>
        <v>6.36474916607561</v>
      </c>
      <c r="U101" s="110">
        <f>-T101</f>
        <v>-6.36474916607561</v>
      </c>
      <c r="V101" s="113">
        <f t="shared" si="38"/>
        <v>1.6005671398738375</v>
      </c>
      <c r="W101" s="110">
        <f t="shared" si="39"/>
        <v>49.97437528204586</v>
      </c>
    </row>
    <row r="102" spans="9:23" ht="12.75">
      <c r="I102" s="95">
        <v>98</v>
      </c>
      <c r="J102" s="92">
        <f t="shared" si="36"/>
        <v>84.89780990618793</v>
      </c>
      <c r="K102" s="98">
        <f>ACOS($D$16/J102)-TAN(ACOS($D$16/J102))+$D$24</f>
        <v>0.10194614547812493</v>
      </c>
      <c r="L102" s="92">
        <f t="shared" si="37"/>
        <v>0.024681423765575153</v>
      </c>
      <c r="M102" s="101">
        <f>$D$9/(2*COS($D$8/180*PI()))-$D$25-$D$6*COS(L102)</f>
        <v>7.75008339139729</v>
      </c>
      <c r="N102" s="101">
        <f t="shared" si="28"/>
        <v>0.030855987284502014</v>
      </c>
      <c r="O102" s="98">
        <f t="shared" si="29"/>
        <v>0.16976995466881276</v>
      </c>
      <c r="P102" s="104">
        <f t="shared" si="30"/>
        <v>42.22850984671465</v>
      </c>
      <c r="Q102" s="107">
        <f>P102*TAN(K102)</f>
        <v>4.320010166970592</v>
      </c>
      <c r="R102" s="110">
        <f>-Q102</f>
        <v>-4.320010166970592</v>
      </c>
      <c r="S102" s="104">
        <f>(M102*COS(O102)+N102*SIN(O102))*$D$7</f>
        <v>38.21939426631633</v>
      </c>
      <c r="T102" s="107">
        <f t="shared" si="34"/>
        <v>6.395038589011951</v>
      </c>
      <c r="U102" s="110">
        <f>-T102</f>
        <v>-6.395038589011951</v>
      </c>
      <c r="V102" s="113">
        <f t="shared" si="38"/>
        <v>1.6349879385808017</v>
      </c>
      <c r="W102" s="110">
        <f t="shared" si="39"/>
        <v>49.97326099466289</v>
      </c>
    </row>
    <row r="103" spans="9:23" ht="12.75">
      <c r="I103" s="95">
        <v>99</v>
      </c>
      <c r="J103" s="92">
        <f t="shared" si="36"/>
        <v>84.74211722480842</v>
      </c>
      <c r="K103" s="98">
        <f>ACOS($D$16/J103)-TAN(ACOS($D$16/J103))+$D$24</f>
        <v>0.10208611899194783</v>
      </c>
      <c r="L103" s="92">
        <f t="shared" si="37"/>
        <v>0.012340711882786964</v>
      </c>
      <c r="M103" s="101">
        <f>$D$9/(2*COS($D$8/180*PI()))-$D$25-$D$6*COS(L103)</f>
        <v>7.749996589798788</v>
      </c>
      <c r="N103" s="101">
        <f t="shared" si="28"/>
        <v>0.0154267150735247</v>
      </c>
      <c r="O103" s="98">
        <f t="shared" si="29"/>
        <v>0.16857655079427888</v>
      </c>
      <c r="P103" s="104">
        <f t="shared" si="30"/>
        <v>42.15046369394479</v>
      </c>
      <c r="Q103" s="107">
        <f>P103*TAN(K103)</f>
        <v>4.317987762978823</v>
      </c>
      <c r="R103" s="110">
        <f>-Q103</f>
        <v>-4.317987762978823</v>
      </c>
      <c r="S103" s="104">
        <f>(M103*COS(O103)+N103*SIN(O103))*$D$7</f>
        <v>38.213627497844946</v>
      </c>
      <c r="T103" s="107">
        <f t="shared" si="34"/>
        <v>6.42540283497608</v>
      </c>
      <c r="U103" s="110">
        <f>-T103</f>
        <v>-6.42540283497608</v>
      </c>
      <c r="V103" s="113">
        <f t="shared" si="38"/>
        <v>1.669408737287766</v>
      </c>
      <c r="W103" s="110">
        <f t="shared" si="39"/>
        <v>49.972122973392544</v>
      </c>
    </row>
    <row r="104" spans="9:23" ht="13.5" thickBot="1">
      <c r="I104" s="96">
        <v>100</v>
      </c>
      <c r="J104" s="93">
        <f>D20</f>
        <v>84.58642454342956</v>
      </c>
      <c r="K104" s="99">
        <f>ACOS($D$16/J104)-TAN(ACOS($D$16/J104))+$D$24</f>
        <v>0.10216881946674009</v>
      </c>
      <c r="L104" s="84">
        <f t="shared" si="37"/>
        <v>-1.2247147740396258E-15</v>
      </c>
      <c r="M104" s="102">
        <f>$D$9/(2*COS($D$8/180*PI()))-$D$25-$D$6*COS(L104)</f>
        <v>7.749967654463755</v>
      </c>
      <c r="N104" s="102">
        <f t="shared" si="28"/>
        <v>-1.5309330816056467E-15</v>
      </c>
      <c r="O104" s="99">
        <f t="shared" si="29"/>
        <v>0.1673835103958105</v>
      </c>
      <c r="P104" s="105">
        <f t="shared" si="30"/>
        <v>42.072666054427</v>
      </c>
      <c r="Q104" s="108">
        <f>P104*TAN(K104)</f>
        <v>4.313533972625157</v>
      </c>
      <c r="R104" s="111">
        <f>-Q104</f>
        <v>-4.313533972625157</v>
      </c>
      <c r="S104" s="105">
        <f>(M104*COS(O104)+N104*SIN(O104))*$D$7</f>
        <v>38.20827272580749</v>
      </c>
      <c r="T104" s="108">
        <f t="shared" si="34"/>
        <v>6.455839328946798</v>
      </c>
      <c r="U104" s="111">
        <f>-T104</f>
        <v>-6.455839328946798</v>
      </c>
      <c r="V104" s="114">
        <f t="shared" si="38"/>
        <v>1.7038295359947302</v>
      </c>
      <c r="W104" s="111">
        <f t="shared" si="39"/>
        <v>49.97096121661332</v>
      </c>
    </row>
  </sheetData>
  <sheetProtection/>
  <mergeCells count="10">
    <mergeCell ref="B24:B26"/>
    <mergeCell ref="P2:R2"/>
    <mergeCell ref="S2:U2"/>
    <mergeCell ref="V2:W2"/>
    <mergeCell ref="A18:B18"/>
    <mergeCell ref="I1:W1"/>
    <mergeCell ref="J2:O2"/>
    <mergeCell ref="A12:B12"/>
    <mergeCell ref="A1:E1"/>
    <mergeCell ref="A2:B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2015-09-19T15:02:52Z</dcterms:modified>
  <cp:category/>
  <cp:version/>
  <cp:contentType/>
  <cp:contentStatus/>
</cp:coreProperties>
</file>