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650" activeTab="0"/>
  </bookViews>
  <sheets>
    <sheet name="1" sheetId="1" r:id="rId1"/>
  </sheets>
  <definedNames>
    <definedName name="06222015.xls">#REF!</definedName>
  </definedNames>
  <calcPr fullCalcOnLoad="1"/>
</workbook>
</file>

<file path=xl/sharedStrings.xml><?xml version="1.0" encoding="utf-8"?>
<sst xmlns="http://schemas.openxmlformats.org/spreadsheetml/2006/main" count="88" uniqueCount="59">
  <si>
    <t>z</t>
  </si>
  <si>
    <t>Н</t>
  </si>
  <si>
    <t>мм</t>
  </si>
  <si>
    <t>Н/мм</t>
  </si>
  <si>
    <t>i</t>
  </si>
  <si>
    <t>Длина балки</t>
  </si>
  <si>
    <t>Исходные данные:</t>
  </si>
  <si>
    <t>Обозна-
чения</t>
  </si>
  <si>
    <t>Значения</t>
  </si>
  <si>
    <t>h=</t>
  </si>
  <si>
    <t>Удельный вес балки</t>
  </si>
  <si>
    <t>Шаг контрольных точек</t>
  </si>
  <si>
    <t>q=</t>
  </si>
  <si>
    <t>E=</t>
  </si>
  <si>
    <t>Момент инерции сечения</t>
  </si>
  <si>
    <t>Модуль упругости стали</t>
  </si>
  <si>
    <r>
      <t>Н/мм</t>
    </r>
    <r>
      <rPr>
        <b/>
        <vertAlign val="superscript"/>
        <sz val="11"/>
        <color indexed="12"/>
        <rFont val="Arial"/>
        <family val="2"/>
      </rPr>
      <t>2</t>
    </r>
  </si>
  <si>
    <t>Нагрузки</t>
  </si>
  <si>
    <t>Ед.
изм.</t>
  </si>
  <si>
    <t>Реакции опор</t>
  </si>
  <si>
    <r>
      <t>z</t>
    </r>
    <r>
      <rPr>
        <b/>
        <vertAlign val="subscript"/>
        <sz val="11"/>
        <color indexed="12"/>
        <rFont val="Arial"/>
        <family val="2"/>
      </rPr>
      <t>max</t>
    </r>
    <r>
      <rPr>
        <b/>
        <sz val="11"/>
        <color indexed="12"/>
        <rFont val="Arial"/>
        <family val="2"/>
      </rPr>
      <t>=</t>
    </r>
  </si>
  <si>
    <t>Координаты точек
приложения нагрузок</t>
  </si>
  <si>
    <r>
      <t>b</t>
    </r>
    <r>
      <rPr>
        <b/>
        <vertAlign val="subscript"/>
        <sz val="11"/>
        <color indexed="12"/>
        <rFont val="Arial"/>
        <family val="2"/>
      </rPr>
      <t>1</t>
    </r>
    <r>
      <rPr>
        <b/>
        <sz val="11"/>
        <color indexed="12"/>
        <rFont val="Arial"/>
        <family val="2"/>
      </rPr>
      <t>=</t>
    </r>
  </si>
  <si>
    <r>
      <t>b</t>
    </r>
    <r>
      <rPr>
        <b/>
        <vertAlign val="subscript"/>
        <sz val="11"/>
        <color indexed="12"/>
        <rFont val="Arial"/>
        <family val="2"/>
      </rPr>
      <t>3</t>
    </r>
    <r>
      <rPr>
        <b/>
        <sz val="11"/>
        <color indexed="12"/>
        <rFont val="Arial"/>
        <family val="2"/>
      </rPr>
      <t>=</t>
    </r>
  </si>
  <si>
    <r>
      <t>b</t>
    </r>
    <r>
      <rPr>
        <b/>
        <vertAlign val="subscript"/>
        <sz val="11"/>
        <color indexed="12"/>
        <rFont val="Arial"/>
        <family val="2"/>
      </rPr>
      <t>5</t>
    </r>
    <r>
      <rPr>
        <b/>
        <sz val="11"/>
        <color indexed="12"/>
        <rFont val="Arial"/>
        <family val="2"/>
      </rPr>
      <t>=</t>
    </r>
  </si>
  <si>
    <r>
      <t>b</t>
    </r>
    <r>
      <rPr>
        <b/>
        <vertAlign val="sub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=</t>
    </r>
  </si>
  <si>
    <r>
      <t>b</t>
    </r>
    <r>
      <rPr>
        <b/>
        <vertAlign val="subscript"/>
        <sz val="11"/>
        <color indexed="12"/>
        <rFont val="Arial"/>
        <family val="2"/>
      </rPr>
      <t>4</t>
    </r>
    <r>
      <rPr>
        <b/>
        <sz val="11"/>
        <color indexed="12"/>
        <rFont val="Arial"/>
        <family val="2"/>
      </rPr>
      <t>=</t>
    </r>
  </si>
  <si>
    <r>
      <t>b</t>
    </r>
    <r>
      <rPr>
        <b/>
        <vertAlign val="subscript"/>
        <sz val="11"/>
        <color indexed="12"/>
        <rFont val="Arial"/>
        <family val="2"/>
      </rPr>
      <t>6</t>
    </r>
    <r>
      <rPr>
        <b/>
        <sz val="11"/>
        <color indexed="12"/>
        <rFont val="Arial"/>
        <family val="2"/>
      </rPr>
      <t>=</t>
    </r>
  </si>
  <si>
    <r>
      <t>b</t>
    </r>
    <r>
      <rPr>
        <b/>
        <vertAlign val="subscript"/>
        <sz val="11"/>
        <color indexed="12"/>
        <rFont val="Arial"/>
        <family val="2"/>
      </rPr>
      <t>8</t>
    </r>
    <r>
      <rPr>
        <b/>
        <sz val="11"/>
        <color indexed="12"/>
        <rFont val="Arial"/>
        <family val="2"/>
      </rPr>
      <t>=</t>
    </r>
  </si>
  <si>
    <r>
      <t>b</t>
    </r>
    <r>
      <rPr>
        <b/>
        <vertAlign val="subscript"/>
        <sz val="11"/>
        <color indexed="12"/>
        <rFont val="Arial"/>
        <family val="2"/>
      </rPr>
      <t>9</t>
    </r>
    <r>
      <rPr>
        <b/>
        <sz val="11"/>
        <color indexed="12"/>
        <rFont val="Arial"/>
        <family val="2"/>
      </rPr>
      <t>=</t>
    </r>
  </si>
  <si>
    <r>
      <t>b</t>
    </r>
    <r>
      <rPr>
        <b/>
        <vertAlign val="subscript"/>
        <sz val="11"/>
        <color indexed="12"/>
        <rFont val="Arial"/>
        <family val="2"/>
      </rPr>
      <t>11</t>
    </r>
    <r>
      <rPr>
        <b/>
        <sz val="11"/>
        <color indexed="12"/>
        <rFont val="Arial"/>
        <family val="2"/>
      </rPr>
      <t>=</t>
    </r>
  </si>
  <si>
    <r>
      <t>b</t>
    </r>
    <r>
      <rPr>
        <b/>
        <vertAlign val="subscript"/>
        <sz val="11"/>
        <color indexed="12"/>
        <rFont val="Arial"/>
        <family val="2"/>
      </rPr>
      <t>10</t>
    </r>
    <r>
      <rPr>
        <b/>
        <sz val="11"/>
        <color indexed="12"/>
        <rFont val="Arial"/>
        <family val="2"/>
      </rPr>
      <t>=</t>
    </r>
  </si>
  <si>
    <r>
      <t>b</t>
    </r>
    <r>
      <rPr>
        <b/>
        <vertAlign val="subscript"/>
        <sz val="11"/>
        <color indexed="12"/>
        <rFont val="Arial"/>
        <family val="2"/>
      </rPr>
      <t>7</t>
    </r>
    <r>
      <rPr>
        <b/>
        <sz val="11"/>
        <color indexed="12"/>
        <rFont val="Arial"/>
        <family val="2"/>
      </rPr>
      <t>=</t>
    </r>
  </si>
  <si>
    <r>
      <t>F</t>
    </r>
    <r>
      <rPr>
        <b/>
        <vertAlign val="subscript"/>
        <sz val="11"/>
        <color indexed="12"/>
        <rFont val="Arial"/>
        <family val="2"/>
      </rPr>
      <t>1</t>
    </r>
    <r>
      <rPr>
        <b/>
        <sz val="11"/>
        <color indexed="12"/>
        <rFont val="Arial"/>
        <family val="2"/>
      </rPr>
      <t>=</t>
    </r>
  </si>
  <si>
    <r>
      <t>F</t>
    </r>
    <r>
      <rPr>
        <b/>
        <vertAlign val="sub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=</t>
    </r>
  </si>
  <si>
    <r>
      <t>I</t>
    </r>
    <r>
      <rPr>
        <b/>
        <vertAlign val="subscript"/>
        <sz val="11"/>
        <rFont val="Arial"/>
        <family val="2"/>
      </rPr>
      <t>x</t>
    </r>
    <r>
      <rPr>
        <b/>
        <sz val="11"/>
        <rFont val="Arial"/>
        <family val="2"/>
      </rPr>
      <t>=</t>
    </r>
  </si>
  <si>
    <r>
      <t>мм</t>
    </r>
    <r>
      <rPr>
        <b/>
        <vertAlign val="superscript"/>
        <sz val="11"/>
        <rFont val="Arial"/>
        <family val="2"/>
      </rPr>
      <t>4</t>
    </r>
  </si>
  <si>
    <t>Н*мм</t>
  </si>
  <si>
    <t>рад</t>
  </si>
  <si>
    <t>ε</t>
  </si>
  <si>
    <t>%</t>
  </si>
  <si>
    <t>Ошибка</t>
  </si>
  <si>
    <t>Прогиб
(точно)</t>
  </si>
  <si>
    <t>Момент
(точно)</t>
  </si>
  <si>
    <t>№</t>
  </si>
  <si>
    <t>Момент
(прибл.)</t>
  </si>
  <si>
    <t>По формулам сопромата</t>
  </si>
  <si>
    <t>По формуле (6)
производных
в конечных
разностях</t>
  </si>
  <si>
    <r>
      <t>M</t>
    </r>
    <r>
      <rPr>
        <b/>
        <vertAlign val="subscript"/>
        <sz val="11"/>
        <color indexed="10"/>
        <rFont val="Arial"/>
        <family val="2"/>
      </rPr>
      <t>x</t>
    </r>
  </si>
  <si>
    <r>
      <t>M</t>
    </r>
    <r>
      <rPr>
        <b/>
        <vertAlign val="subscript"/>
        <sz val="11"/>
        <color indexed="10"/>
        <rFont val="Arial"/>
        <family val="2"/>
      </rPr>
      <t>x</t>
    </r>
    <r>
      <rPr>
        <b/>
        <sz val="11"/>
        <color indexed="10"/>
        <rFont val="Arial"/>
        <family val="2"/>
      </rPr>
      <t>≈V</t>
    </r>
    <r>
      <rPr>
        <b/>
        <vertAlign val="subscript"/>
        <sz val="11"/>
        <color indexed="10"/>
        <rFont val="Arial"/>
        <family val="2"/>
      </rPr>
      <t>y</t>
    </r>
    <r>
      <rPr>
        <b/>
        <sz val="11"/>
        <color indexed="10"/>
        <rFont val="Arial"/>
        <family val="2"/>
      </rPr>
      <t>''</t>
    </r>
  </si>
  <si>
    <r>
      <t>U</t>
    </r>
    <r>
      <rPr>
        <b/>
        <vertAlign val="subscript"/>
        <sz val="11"/>
        <rFont val="Arial"/>
        <family val="2"/>
      </rPr>
      <t>x</t>
    </r>
  </si>
  <si>
    <r>
      <t>Q</t>
    </r>
    <r>
      <rPr>
        <b/>
        <vertAlign val="subscript"/>
        <sz val="11"/>
        <rFont val="Arial"/>
        <family val="2"/>
      </rPr>
      <t>y</t>
    </r>
  </si>
  <si>
    <r>
      <t>V</t>
    </r>
    <r>
      <rPr>
        <b/>
        <vertAlign val="subscript"/>
        <sz val="11"/>
        <color indexed="10"/>
        <rFont val="Arial"/>
        <family val="2"/>
      </rPr>
      <t>y</t>
    </r>
  </si>
  <si>
    <t>Сила
(точно)</t>
  </si>
  <si>
    <t>Угол
(точно)</t>
  </si>
  <si>
    <t>Прогиб
(округл.)</t>
  </si>
  <si>
    <t>Вычисление производной
на примере расчета моментов
 в сечениях балки по известным прогибам</t>
  </si>
  <si>
    <r>
      <t>R</t>
    </r>
    <r>
      <rPr>
        <b/>
        <sz val="11"/>
        <rFont val="Arial"/>
        <family val="2"/>
      </rPr>
      <t>=</t>
    </r>
  </si>
  <si>
    <t>Координаты
сечений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</si>
</sst>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&quot;,&quot;\ d\ mmmm\ yyyy\ &quot;г.&quot;"/>
    <numFmt numFmtId="165" formatCode="dd/mm/yy\ h:mm;@"/>
    <numFmt numFmtId="166" formatCode="mmm/yyyy"/>
    <numFmt numFmtId="167" formatCode="0.000000000000"/>
    <numFmt numFmtId="168" formatCode="#,##0.000000000000"/>
    <numFmt numFmtId="169" formatCode="0.0"/>
    <numFmt numFmtId="170" formatCode="#,##0.000"/>
    <numFmt numFmtId="171" formatCode="0.000"/>
    <numFmt numFmtId="172" formatCode="[$-F400]h:mm:ss\ AM/PM"/>
    <numFmt numFmtId="173" formatCode="h:mm;@"/>
    <numFmt numFmtId="174" formatCode="#,##0.0"/>
    <numFmt numFmtId="175" formatCode="#,##0.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4"/>
      <color indexed="20"/>
      <name val="Arial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b/>
      <sz val="8"/>
      <color indexed="14"/>
      <name val="Arial Black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vertAlign val="subscript"/>
      <sz val="11"/>
      <color indexed="12"/>
      <name val="Arial"/>
      <family val="2"/>
    </font>
    <font>
      <b/>
      <vertAlign val="superscript"/>
      <sz val="11"/>
      <color indexed="12"/>
      <name val="Arial"/>
      <family val="2"/>
    </font>
    <font>
      <b/>
      <vertAlign val="subscript"/>
      <sz val="11"/>
      <name val="Arial"/>
      <family val="2"/>
    </font>
    <font>
      <sz val="4.75"/>
      <name val="Arial Cyr"/>
      <family val="0"/>
    </font>
    <font>
      <sz val="5"/>
      <name val="Arial Cyr"/>
      <family val="0"/>
    </font>
    <font>
      <sz val="4.5"/>
      <name val="Arial Cyr"/>
      <family val="0"/>
    </font>
    <font>
      <b/>
      <vertAlign val="superscript"/>
      <sz val="11"/>
      <name val="Arial"/>
      <family val="2"/>
    </font>
    <font>
      <b/>
      <sz val="12"/>
      <color indexed="14"/>
      <name val="Arial Cyr"/>
      <family val="0"/>
    </font>
    <font>
      <b/>
      <sz val="11"/>
      <color indexed="10"/>
      <name val="Arial"/>
      <family val="2"/>
    </font>
    <font>
      <b/>
      <vertAlign val="subscript"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 Cyr"/>
      <family val="0"/>
    </font>
    <font>
      <sz val="9"/>
      <name val="Arial Cyr"/>
      <family val="0"/>
    </font>
    <font>
      <b/>
      <sz val="16.25"/>
      <name val="Arial Cyr"/>
      <family val="0"/>
    </font>
    <font>
      <b/>
      <sz val="15"/>
      <name val="Arial Cyr"/>
      <family val="0"/>
    </font>
    <font>
      <sz val="9.25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justify" wrapText="1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0" fontId="12" fillId="0" borderId="0" xfId="18" applyFont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3" fontId="14" fillId="2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3" fontId="14" fillId="3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71" fontId="7" fillId="0" borderId="0" xfId="0" applyNumberFormat="1" applyFont="1" applyAlignment="1">
      <alignment vertical="center"/>
    </xf>
    <xf numFmtId="171" fontId="25" fillId="2" borderId="2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2" borderId="6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3" fontId="14" fillId="2" borderId="8" xfId="0" applyNumberFormat="1" applyFont="1" applyFill="1" applyBorder="1" applyAlignment="1">
      <alignment vertical="center"/>
    </xf>
    <xf numFmtId="0" fontId="12" fillId="0" borderId="9" xfId="18" applyFont="1" applyBorder="1" applyAlignment="1" applyProtection="1">
      <alignment horizontal="center" vertical="center" wrapText="1"/>
      <protection/>
    </xf>
    <xf numFmtId="0" fontId="12" fillId="0" borderId="10" xfId="18" applyFont="1" applyBorder="1" applyAlignment="1" applyProtection="1">
      <alignment horizontal="center" vertical="center" wrapText="1"/>
      <protection/>
    </xf>
    <xf numFmtId="170" fontId="13" fillId="4" borderId="1" xfId="0" applyNumberFormat="1" applyFont="1" applyFill="1" applyBorder="1" applyAlignment="1">
      <alignment vertical="center"/>
    </xf>
    <xf numFmtId="3" fontId="13" fillId="4" borderId="1" xfId="0" applyNumberFormat="1" applyFont="1" applyFill="1" applyBorder="1" applyAlignment="1">
      <alignment vertical="center"/>
    </xf>
    <xf numFmtId="175" fontId="7" fillId="2" borderId="8" xfId="0" applyNumberFormat="1" applyFont="1" applyFill="1" applyBorder="1" applyAlignment="1">
      <alignment vertical="center"/>
    </xf>
    <xf numFmtId="175" fontId="7" fillId="5" borderId="1" xfId="0" applyNumberFormat="1" applyFont="1" applyFill="1" applyBorder="1" applyAlignment="1">
      <alignment vertical="center"/>
    </xf>
    <xf numFmtId="175" fontId="7" fillId="5" borderId="6" xfId="0" applyNumberFormat="1" applyFont="1" applyFill="1" applyBorder="1" applyAlignment="1">
      <alignment vertical="center"/>
    </xf>
    <xf numFmtId="3" fontId="7" fillId="2" borderId="11" xfId="0" applyNumberFormat="1" applyFont="1" applyFill="1" applyBorder="1" applyAlignment="1">
      <alignment vertical="center"/>
    </xf>
    <xf numFmtId="3" fontId="7" fillId="5" borderId="12" xfId="0" applyNumberFormat="1" applyFont="1" applyFill="1" applyBorder="1" applyAlignment="1">
      <alignment vertical="center"/>
    </xf>
    <xf numFmtId="3" fontId="7" fillId="5" borderId="13" xfId="0" applyNumberFormat="1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vertical="center"/>
    </xf>
    <xf numFmtId="3" fontId="7" fillId="5" borderId="5" xfId="0" applyNumberFormat="1" applyFont="1" applyFill="1" applyBorder="1" applyAlignment="1">
      <alignment vertical="center"/>
    </xf>
    <xf numFmtId="3" fontId="7" fillId="5" borderId="7" xfId="0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3" fontId="25" fillId="5" borderId="8" xfId="0" applyNumberFormat="1" applyFont="1" applyFill="1" applyBorder="1" applyAlignment="1">
      <alignment vertical="center"/>
    </xf>
    <xf numFmtId="3" fontId="25" fillId="5" borderId="1" xfId="0" applyNumberFormat="1" applyFont="1" applyFill="1" applyBorder="1" applyAlignment="1">
      <alignment vertical="center"/>
    </xf>
    <xf numFmtId="3" fontId="25" fillId="5" borderId="6" xfId="0" applyNumberFormat="1" applyFont="1" applyFill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5" fillId="2" borderId="15" xfId="0" applyFont="1" applyFill="1" applyBorder="1" applyAlignment="1">
      <alignment vertical="center"/>
    </xf>
    <xf numFmtId="3" fontId="25" fillId="5" borderId="16" xfId="0" applyNumberFormat="1" applyFont="1" applyFill="1" applyBorder="1" applyAlignment="1">
      <alignment vertical="center"/>
    </xf>
    <xf numFmtId="3" fontId="25" fillId="2" borderId="17" xfId="0" applyNumberFormat="1" applyFont="1" applyFill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70" fontId="25" fillId="5" borderId="2" xfId="0" applyNumberFormat="1" applyFont="1" applyFill="1" applyBorder="1" applyAlignment="1">
      <alignment vertical="center"/>
    </xf>
    <xf numFmtId="170" fontId="25" fillId="5" borderId="4" xfId="0" applyNumberFormat="1" applyFont="1" applyFill="1" applyBorder="1" applyAlignment="1">
      <alignment vertical="center"/>
    </xf>
    <xf numFmtId="170" fontId="25" fillId="5" borderId="14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70" fontId="7" fillId="0" borderId="0" xfId="0" applyNumberFormat="1" applyFont="1" applyFill="1" applyAlignment="1">
      <alignment vertical="center"/>
    </xf>
    <xf numFmtId="171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4" fontId="7" fillId="0" borderId="0" xfId="0" applyNumberFormat="1" applyFont="1" applyFill="1" applyBorder="1" applyAlignment="1">
      <alignment vertical="center"/>
    </xf>
    <xf numFmtId="170" fontId="7" fillId="0" borderId="0" xfId="0" applyNumberFormat="1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 vertical="center"/>
    </xf>
    <xf numFmtId="3" fontId="7" fillId="5" borderId="11" xfId="0" applyNumberFormat="1" applyFont="1" applyFill="1" applyBorder="1" applyAlignment="1">
      <alignment vertical="center"/>
    </xf>
    <xf numFmtId="175" fontId="7" fillId="5" borderId="8" xfId="0" applyNumberFormat="1" applyFont="1" applyFill="1" applyBorder="1" applyAlignment="1">
      <alignment vertical="center"/>
    </xf>
    <xf numFmtId="3" fontId="25" fillId="5" borderId="15" xfId="0" applyNumberFormat="1" applyFont="1" applyFill="1" applyBorder="1" applyAlignment="1">
      <alignment vertical="center"/>
    </xf>
    <xf numFmtId="3" fontId="25" fillId="5" borderId="17" xfId="0" applyNumberFormat="1" applyFont="1" applyFill="1" applyBorder="1" applyAlignment="1">
      <alignment vertical="center"/>
    </xf>
    <xf numFmtId="171" fontId="25" fillId="5" borderId="4" xfId="0" applyNumberFormat="1" applyFont="1" applyFill="1" applyBorder="1" applyAlignment="1">
      <alignment horizontal="center" vertical="center"/>
    </xf>
    <xf numFmtId="171" fontId="25" fillId="5" borderId="14" xfId="0" applyNumberFormat="1" applyFont="1" applyFill="1" applyBorder="1" applyAlignment="1">
      <alignment horizontal="center" vertical="center"/>
    </xf>
    <xf numFmtId="171" fontId="25" fillId="5" borderId="2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171" fontId="25" fillId="2" borderId="14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22" fillId="0" borderId="19" xfId="18" applyFont="1" applyBorder="1" applyAlignment="1" applyProtection="1">
      <alignment horizontal="left" vertical="center"/>
      <protection/>
    </xf>
    <xf numFmtId="0" fontId="22" fillId="0" borderId="9" xfId="18" applyFont="1" applyBorder="1" applyAlignment="1" applyProtection="1">
      <alignment horizontal="left" vertical="center"/>
      <protection/>
    </xf>
    <xf numFmtId="0" fontId="14" fillId="0" borderId="6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raschet-privoda-telezhki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1" i="0" u="none" baseline="0"/>
          </a:pPr>
        </a:p>
      </c:txPr>
    </c:title>
    <c:plotArea>
      <c:layout>
        <c:manualLayout>
          <c:xMode val="edge"/>
          <c:yMode val="edge"/>
          <c:x val="0.04875"/>
          <c:y val="0.14975"/>
          <c:w val="0.95125"/>
          <c:h val="0.80375"/>
        </c:manualLayout>
      </c:layout>
      <c:scatterChart>
        <c:scatterStyle val="smoothMarker"/>
        <c:varyColors val="0"/>
        <c:ser>
          <c:idx val="0"/>
          <c:order val="0"/>
          <c:tx>
            <c:v>Q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1!$H$5:$H$54</c:f>
              <c:numCache/>
            </c:numRef>
          </c:xVal>
          <c:yVal>
            <c:numRef>
              <c:f>1!$I$5:$I$54</c:f>
              <c:numCache/>
            </c:numRef>
          </c:yVal>
          <c:smooth val="1"/>
        </c:ser>
        <c:axId val="49114907"/>
        <c:axId val="39380980"/>
      </c:scatterChart>
      <c:valAx>
        <c:axId val="49114907"/>
        <c:scaling>
          <c:orientation val="minMax"/>
          <c:max val="8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9380980"/>
        <c:crosses val="autoZero"/>
        <c:crossBetween val="midCat"/>
        <c:dispUnits/>
        <c:majorUnit val="1000"/>
        <c:minorUnit val="400"/>
      </c:valAx>
      <c:valAx>
        <c:axId val="39380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9114907"/>
        <c:crossesAt val="0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25"/>
          <c:w val="1"/>
          <c:h val="0.81125"/>
        </c:manualLayout>
      </c:layout>
      <c:scatterChart>
        <c:scatterStyle val="smoothMarker"/>
        <c:varyColors val="0"/>
        <c:ser>
          <c:idx val="0"/>
          <c:order val="0"/>
          <c:tx>
            <c:v>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1!$H$5:$H$54</c:f>
              <c:numCache/>
            </c:numRef>
          </c:xVal>
          <c:yVal>
            <c:numRef>
              <c:f>1!$J$5:$J$54</c:f>
              <c:numCache/>
            </c:numRef>
          </c:yVal>
          <c:smooth val="1"/>
        </c:ser>
        <c:axId val="18884501"/>
        <c:axId val="35742782"/>
      </c:scatterChart>
      <c:valAx>
        <c:axId val="18884501"/>
        <c:scaling>
          <c:orientation val="minMax"/>
          <c:max val="8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42782"/>
        <c:crosses val="autoZero"/>
        <c:crossBetween val="midCat"/>
        <c:dispUnits/>
        <c:majorUnit val="1000"/>
        <c:minorUnit val="200"/>
      </c:valAx>
      <c:valAx>
        <c:axId val="35742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8884501"/>
        <c:crossesAt val="0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39"/>
          <c:w val="0.9655"/>
          <c:h val="0.81475"/>
        </c:manualLayout>
      </c:layout>
      <c:scatterChart>
        <c:scatterStyle val="smoothMarker"/>
        <c:varyColors val="0"/>
        <c:ser>
          <c:idx val="0"/>
          <c:order val="0"/>
          <c:tx>
            <c:v>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1!$H$5:$H$54</c:f>
              <c:numCache/>
            </c:numRef>
          </c:xVal>
          <c:yVal>
            <c:numRef>
              <c:f>1!$K$5:$K$54</c:f>
              <c:numCache/>
            </c:numRef>
          </c:yVal>
          <c:smooth val="1"/>
        </c:ser>
        <c:axId val="53249583"/>
        <c:axId val="9484200"/>
      </c:scatterChart>
      <c:valAx>
        <c:axId val="53249583"/>
        <c:scaling>
          <c:orientation val="minMax"/>
          <c:max val="8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484200"/>
        <c:crosses val="autoZero"/>
        <c:crossBetween val="midCat"/>
        <c:dispUnits/>
        <c:majorUnit val="1000"/>
        <c:minorUnit val="400"/>
      </c:valAx>
      <c:valAx>
        <c:axId val="9484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249583"/>
        <c:crossesAt val="0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455"/>
          <c:w val="0.938"/>
          <c:h val="0.8075"/>
        </c:manualLayout>
      </c:layout>
      <c:scatterChart>
        <c:scatterStyle val="smoothMarker"/>
        <c:varyColors val="0"/>
        <c:ser>
          <c:idx val="0"/>
          <c:order val="0"/>
          <c:tx>
            <c:v>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1!$H$5:$H$54</c:f>
              <c:numCache/>
            </c:numRef>
          </c:xVal>
          <c:yVal>
            <c:numRef>
              <c:f>1!$L$5:$L$54</c:f>
              <c:numCache/>
            </c:numRef>
          </c:yVal>
          <c:smooth val="1"/>
        </c:ser>
        <c:axId val="18248937"/>
        <c:axId val="30022706"/>
      </c:scatterChart>
      <c:valAx>
        <c:axId val="18248937"/>
        <c:scaling>
          <c:orientation val="minMax"/>
          <c:max val="8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022706"/>
        <c:crosses val="autoZero"/>
        <c:crossBetween val="midCat"/>
        <c:dispUnits/>
        <c:majorUnit val="1000"/>
        <c:minorUnit val="400"/>
      </c:valAx>
      <c:valAx>
        <c:axId val="30022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248937"/>
        <c:crossesAt val="0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4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85725</xdr:rowOff>
    </xdr:from>
    <xdr:to>
      <xdr:col>4</xdr:col>
      <xdr:colOff>466725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9525" y="6124575"/>
        <a:ext cx="42195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4</xdr:col>
      <xdr:colOff>466725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9525" y="8267700"/>
        <a:ext cx="42195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44</xdr:row>
      <xdr:rowOff>9525</xdr:rowOff>
    </xdr:from>
    <xdr:to>
      <xdr:col>4</xdr:col>
      <xdr:colOff>466725</xdr:colOff>
      <xdr:row>57</xdr:row>
      <xdr:rowOff>28575</xdr:rowOff>
    </xdr:to>
    <xdr:graphicFrame>
      <xdr:nvGraphicFramePr>
        <xdr:cNvPr id="3" name="Chart 3"/>
        <xdr:cNvGraphicFramePr/>
      </xdr:nvGraphicFramePr>
      <xdr:xfrm>
        <a:off x="9525" y="10410825"/>
        <a:ext cx="421957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57</xdr:row>
      <xdr:rowOff>38100</xdr:rowOff>
    </xdr:from>
    <xdr:to>
      <xdr:col>5</xdr:col>
      <xdr:colOff>0</xdr:colOff>
      <xdr:row>70</xdr:row>
      <xdr:rowOff>19050</xdr:rowOff>
    </xdr:to>
    <xdr:graphicFrame>
      <xdr:nvGraphicFramePr>
        <xdr:cNvPr id="4" name="Chart 4"/>
        <xdr:cNvGraphicFramePr/>
      </xdr:nvGraphicFramePr>
      <xdr:xfrm>
        <a:off x="19050" y="12563475"/>
        <a:ext cx="4219575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0</xdr:colOff>
      <xdr:row>0</xdr:row>
      <xdr:rowOff>0</xdr:rowOff>
    </xdr:from>
    <xdr:to>
      <xdr:col>31</xdr:col>
      <xdr:colOff>266700</xdr:colOff>
      <xdr:row>28</xdr:row>
      <xdr:rowOff>95250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30175" y="0"/>
          <a:ext cx="4533900" cy="780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0"/>
  <sheetViews>
    <sheetView tabSelected="1" workbookViewId="0" topLeftCell="A1">
      <selection activeCell="D3" sqref="D3"/>
    </sheetView>
  </sheetViews>
  <sheetFormatPr defaultColWidth="9.140625" defaultRowHeight="12.75"/>
  <cols>
    <col min="1" max="1" width="4.28125" style="0" customWidth="1"/>
    <col min="2" max="2" width="30.00390625" style="0" customWidth="1"/>
    <col min="3" max="3" width="9.28125" style="0" customWidth="1"/>
    <col min="4" max="4" width="12.8515625" style="0" customWidth="1"/>
    <col min="5" max="5" width="7.140625" style="0" customWidth="1"/>
    <col min="6" max="6" width="0.71875" style="0" customWidth="1"/>
    <col min="7" max="7" width="3.00390625" style="0" customWidth="1"/>
    <col min="8" max="8" width="5.7109375" style="0" customWidth="1"/>
    <col min="9" max="9" width="7.28125" style="0" customWidth="1"/>
    <col min="10" max="10" width="11.140625" style="0" customWidth="1"/>
    <col min="12" max="12" width="7.7109375" style="0" customWidth="1"/>
    <col min="13" max="13" width="11.140625" style="0" customWidth="1"/>
    <col min="14" max="14" width="8.28125" style="0" customWidth="1"/>
    <col min="15" max="15" width="0.5625" style="0" customWidth="1"/>
    <col min="16" max="16" width="2.7109375" style="0" customWidth="1"/>
    <col min="17" max="17" width="5.421875" style="0" customWidth="1"/>
    <col min="18" max="18" width="7.28125" style="0" customWidth="1"/>
    <col min="19" max="19" width="11.00390625" style="0" customWidth="1"/>
    <col min="21" max="21" width="8.57421875" style="0" customWidth="1"/>
    <col min="22" max="22" width="11.140625" style="0" bestFit="1" customWidth="1"/>
    <col min="23" max="23" width="8.140625" style="0" customWidth="1"/>
    <col min="24" max="24" width="0.71875" style="0" customWidth="1"/>
  </cols>
  <sheetData>
    <row r="1" spans="1:23" ht="67.5" customHeight="1" thickBot="1">
      <c r="A1" s="106" t="s">
        <v>56</v>
      </c>
      <c r="B1" s="106"/>
      <c r="C1" s="106"/>
      <c r="D1" s="106"/>
      <c r="E1" s="106"/>
      <c r="F1" s="6"/>
      <c r="G1" s="117" t="s">
        <v>44</v>
      </c>
      <c r="H1" s="119" t="s">
        <v>58</v>
      </c>
      <c r="I1" s="113" t="s">
        <v>46</v>
      </c>
      <c r="J1" s="121"/>
      <c r="K1" s="121"/>
      <c r="L1" s="102"/>
      <c r="M1" s="113" t="s">
        <v>47</v>
      </c>
      <c r="N1" s="114"/>
      <c r="O1" s="7"/>
      <c r="P1" s="117" t="s">
        <v>44</v>
      </c>
      <c r="Q1" s="119" t="s">
        <v>58</v>
      </c>
      <c r="R1" s="113" t="s">
        <v>46</v>
      </c>
      <c r="S1" s="121"/>
      <c r="T1" s="121"/>
      <c r="U1" s="102"/>
      <c r="V1" s="113" t="s">
        <v>47</v>
      </c>
      <c r="W1" s="114"/>
    </row>
    <row r="2" spans="1:43" ht="51.75" thickBot="1">
      <c r="A2" s="107" t="s">
        <v>6</v>
      </c>
      <c r="B2" s="108"/>
      <c r="C2" s="38" t="s">
        <v>7</v>
      </c>
      <c r="D2" s="38" t="s">
        <v>8</v>
      </c>
      <c r="E2" s="39" t="s">
        <v>18</v>
      </c>
      <c r="F2" s="15"/>
      <c r="G2" s="118"/>
      <c r="H2" s="120"/>
      <c r="I2" s="69" t="s">
        <v>53</v>
      </c>
      <c r="J2" s="70" t="s">
        <v>43</v>
      </c>
      <c r="K2" s="71" t="s">
        <v>54</v>
      </c>
      <c r="L2" s="72" t="s">
        <v>42</v>
      </c>
      <c r="M2" s="75" t="s">
        <v>45</v>
      </c>
      <c r="N2" s="76" t="s">
        <v>41</v>
      </c>
      <c r="P2" s="118"/>
      <c r="Q2" s="120"/>
      <c r="R2" s="69" t="s">
        <v>53</v>
      </c>
      <c r="S2" s="70" t="s">
        <v>43</v>
      </c>
      <c r="T2" s="71" t="s">
        <v>54</v>
      </c>
      <c r="U2" s="72" t="s">
        <v>55</v>
      </c>
      <c r="V2" s="75" t="s">
        <v>45</v>
      </c>
      <c r="W2" s="76" t="s">
        <v>41</v>
      </c>
      <c r="X2" s="8"/>
      <c r="Y2" s="8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8.75" customHeight="1">
      <c r="A3" s="34">
        <v>1</v>
      </c>
      <c r="B3" s="35" t="s">
        <v>5</v>
      </c>
      <c r="C3" s="36" t="s">
        <v>20</v>
      </c>
      <c r="D3" s="37">
        <v>8000</v>
      </c>
      <c r="E3" s="112" t="s">
        <v>2</v>
      </c>
      <c r="F3" s="10"/>
      <c r="G3" s="115" t="s">
        <v>4</v>
      </c>
      <c r="H3" s="64" t="s">
        <v>0</v>
      </c>
      <c r="I3" s="62" t="s">
        <v>51</v>
      </c>
      <c r="J3" s="51" t="s">
        <v>48</v>
      </c>
      <c r="K3" s="20" t="s">
        <v>50</v>
      </c>
      <c r="L3" s="73" t="s">
        <v>52</v>
      </c>
      <c r="M3" s="77" t="s">
        <v>49</v>
      </c>
      <c r="N3" s="56" t="s">
        <v>39</v>
      </c>
      <c r="P3" s="115" t="s">
        <v>4</v>
      </c>
      <c r="Q3" s="64" t="s">
        <v>0</v>
      </c>
      <c r="R3" s="62" t="s">
        <v>51</v>
      </c>
      <c r="S3" s="51" t="s">
        <v>48</v>
      </c>
      <c r="T3" s="20" t="s">
        <v>50</v>
      </c>
      <c r="U3" s="73" t="s">
        <v>52</v>
      </c>
      <c r="V3" s="77" t="s">
        <v>49</v>
      </c>
      <c r="W3" s="56" t="s">
        <v>39</v>
      </c>
      <c r="X3" s="8"/>
      <c r="Y3" s="8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"/>
      <c r="AN3" s="1"/>
      <c r="AO3" s="1"/>
      <c r="AP3" s="1"/>
      <c r="AQ3" s="1"/>
    </row>
    <row r="4" spans="1:43" ht="18.75" customHeight="1" thickBot="1">
      <c r="A4" s="27">
        <v>2</v>
      </c>
      <c r="B4" s="16" t="s">
        <v>11</v>
      </c>
      <c r="C4" s="17" t="s">
        <v>9</v>
      </c>
      <c r="D4" s="18">
        <v>200</v>
      </c>
      <c r="E4" s="110"/>
      <c r="F4" s="10"/>
      <c r="G4" s="116"/>
      <c r="H4" s="65" t="s">
        <v>2</v>
      </c>
      <c r="I4" s="63" t="s">
        <v>1</v>
      </c>
      <c r="J4" s="52" t="s">
        <v>37</v>
      </c>
      <c r="K4" s="61" t="s">
        <v>38</v>
      </c>
      <c r="L4" s="74" t="s">
        <v>2</v>
      </c>
      <c r="M4" s="78" t="s">
        <v>37</v>
      </c>
      <c r="N4" s="57" t="s">
        <v>40</v>
      </c>
      <c r="P4" s="116"/>
      <c r="Q4" s="65" t="s">
        <v>2</v>
      </c>
      <c r="R4" s="63" t="s">
        <v>1</v>
      </c>
      <c r="S4" s="52" t="s">
        <v>37</v>
      </c>
      <c r="T4" s="61" t="s">
        <v>38</v>
      </c>
      <c r="U4" s="74" t="s">
        <v>2</v>
      </c>
      <c r="V4" s="78" t="s">
        <v>37</v>
      </c>
      <c r="W4" s="57" t="s">
        <v>40</v>
      </c>
      <c r="X4" s="8"/>
      <c r="Y4" s="8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N4" s="1"/>
      <c r="AO4" s="1"/>
      <c r="AP4" s="1"/>
      <c r="AQ4" s="1"/>
    </row>
    <row r="5" spans="1:41" ht="18.75" customHeight="1">
      <c r="A5" s="29">
        <v>3</v>
      </c>
      <c r="B5" s="19" t="s">
        <v>10</v>
      </c>
      <c r="C5" s="20" t="s">
        <v>12</v>
      </c>
      <c r="D5" s="40">
        <f>50.2*2*9.81/1000</f>
        <v>0.9849240000000001</v>
      </c>
      <c r="E5" s="30" t="s">
        <v>3</v>
      </c>
      <c r="F5" s="10"/>
      <c r="G5" s="79">
        <v>1</v>
      </c>
      <c r="H5" s="45">
        <v>0</v>
      </c>
      <c r="I5" s="50">
        <f aca="true" t="shared" si="0" ref="I5:I10">$D$10-$D$5*(H5-$D$11)</f>
        <v>85439.696</v>
      </c>
      <c r="J5" s="53">
        <f aca="true" t="shared" si="1" ref="J5:J10">$D$10*(H5-$D$11)-$D$5*(H5-$D$11)^2/2</f>
        <v>0</v>
      </c>
      <c r="K5" s="42">
        <v>-0.015355434644864588</v>
      </c>
      <c r="L5" s="66">
        <f aca="true" t="shared" si="2" ref="L5:L10">$K$5*H5+($D$10*(H5-$D$11)^3/6-$D$5*(H5-$D$11)^4/24)/($D$6*$D$7)</f>
        <v>0</v>
      </c>
      <c r="M5" s="58">
        <v>0</v>
      </c>
      <c r="N5" s="26">
        <v>0</v>
      </c>
      <c r="P5" s="79">
        <v>1</v>
      </c>
      <c r="Q5" s="45">
        <v>0</v>
      </c>
      <c r="R5" s="50">
        <f aca="true" t="shared" si="3" ref="R5:R10">$D$10-$D$5*(Q5-$D$11)</f>
        <v>85439.696</v>
      </c>
      <c r="S5" s="53">
        <f aca="true" t="shared" si="4" ref="S5:S10">$D$10*(Q5-$D$11)-$D$5*(Q5-$D$11)^2/2</f>
        <v>0</v>
      </c>
      <c r="T5" s="42">
        <v>-0.015355434644864588</v>
      </c>
      <c r="U5" s="66">
        <f aca="true" t="shared" si="5" ref="U5:U10">ROUND(($K$5*Q5+($D$10*(Q5-$D$11)^3/6-$D$5*(Q5-$D$11)^4/24)/($D$6*$D$7)),2)</f>
        <v>0</v>
      </c>
      <c r="V5" s="58">
        <v>0</v>
      </c>
      <c r="W5" s="26">
        <v>0</v>
      </c>
      <c r="X5" s="8"/>
      <c r="Y5" s="8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5"/>
      <c r="AN5" s="1"/>
      <c r="AO5" s="1"/>
    </row>
    <row r="6" spans="1:41" ht="18.75" customHeight="1">
      <c r="A6" s="27">
        <v>4</v>
      </c>
      <c r="B6" s="16" t="s">
        <v>15</v>
      </c>
      <c r="C6" s="17" t="s">
        <v>13</v>
      </c>
      <c r="D6" s="21">
        <v>206000</v>
      </c>
      <c r="E6" s="28" t="s">
        <v>16</v>
      </c>
      <c r="F6" s="13"/>
      <c r="G6" s="80">
        <v>2</v>
      </c>
      <c r="H6" s="46">
        <f>H5+$D$4</f>
        <v>200</v>
      </c>
      <c r="I6" s="48">
        <f t="shared" si="0"/>
        <v>85242.71119999999</v>
      </c>
      <c r="J6" s="54">
        <f t="shared" si="1"/>
        <v>17068240.72</v>
      </c>
      <c r="K6" s="43">
        <f>$K$5+($D$10*(H6-$D$11)^2/2-$D$5*(H6-$D$11)^3/6)/($D$6*$D$7)</f>
        <v>-0.015311809691159937</v>
      </c>
      <c r="L6" s="67">
        <f t="shared" si="2"/>
        <v>-3.068178039523079</v>
      </c>
      <c r="M6" s="59">
        <f>(L7-2*L6+L5)/($D$4^2)*$D$6*$D$7</f>
        <v>17064957.639999848</v>
      </c>
      <c r="N6" s="99">
        <f aca="true" t="shared" si="6" ref="N6:N53">(M6-J6)/J6*100</f>
        <v>-0.01923502283573927</v>
      </c>
      <c r="P6" s="80">
        <v>2</v>
      </c>
      <c r="Q6" s="46">
        <f>Q5+$D$4</f>
        <v>200</v>
      </c>
      <c r="R6" s="48">
        <f t="shared" si="3"/>
        <v>85242.71119999999</v>
      </c>
      <c r="S6" s="54">
        <f t="shared" si="4"/>
        <v>17068240.72</v>
      </c>
      <c r="T6" s="43">
        <f>$K$5+($D$10*(Q6-$D$11)^2/2-$D$5*(Q6-$D$11)^3/6)/($D$6*$D$7)</f>
        <v>-0.015311809691159937</v>
      </c>
      <c r="U6" s="66">
        <f t="shared" si="5"/>
        <v>-3.07</v>
      </c>
      <c r="V6" s="59">
        <f>(U7-2*U6+U5)/($D$4^2)*$D$6*$D$7</f>
        <v>19569999.999999586</v>
      </c>
      <c r="W6" s="99">
        <f aca="true" t="shared" si="7" ref="W6:W53">(V6-S6)/S6*100</f>
        <v>14.657393934385452</v>
      </c>
      <c r="X6" s="8"/>
      <c r="Y6" s="8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5"/>
      <c r="AN6" s="1"/>
      <c r="AO6" s="1"/>
    </row>
    <row r="7" spans="1:41" ht="18.75" customHeight="1">
      <c r="A7" s="29">
        <v>5</v>
      </c>
      <c r="B7" s="19" t="s">
        <v>14</v>
      </c>
      <c r="C7" s="20" t="s">
        <v>35</v>
      </c>
      <c r="D7" s="41">
        <f>2*95000000</f>
        <v>190000000</v>
      </c>
      <c r="E7" s="30" t="s">
        <v>36</v>
      </c>
      <c r="F7" s="10"/>
      <c r="G7" s="80">
        <v>3</v>
      </c>
      <c r="H7" s="46">
        <f>H6+$D$4</f>
        <v>400</v>
      </c>
      <c r="I7" s="48">
        <f t="shared" si="0"/>
        <v>85045.7264</v>
      </c>
      <c r="J7" s="54">
        <f t="shared" si="1"/>
        <v>34097084.48</v>
      </c>
      <c r="K7" s="43">
        <f>$K$5+($D$10*(H7-$D$11)^2/2-$D$5*(H7-$D$11)^3/6)/($D$6*$D$7)</f>
        <v>-0.015181069038732753</v>
      </c>
      <c r="L7" s="67">
        <f t="shared" si="2"/>
        <v>-6.118916163215806</v>
      </c>
      <c r="M7" s="59">
        <f>(L8-2*L7+L6)/($D$4^2)*$D$6*$D$7</f>
        <v>34093801.4</v>
      </c>
      <c r="N7" s="99">
        <f t="shared" si="6"/>
        <v>-0.009628623825371161</v>
      </c>
      <c r="P7" s="80">
        <v>3</v>
      </c>
      <c r="Q7" s="46">
        <f>Q6+$D$4</f>
        <v>400</v>
      </c>
      <c r="R7" s="48">
        <f t="shared" si="3"/>
        <v>85045.7264</v>
      </c>
      <c r="S7" s="54">
        <f t="shared" si="4"/>
        <v>34097084.48</v>
      </c>
      <c r="T7" s="43">
        <f>$K$5+($D$10*(Q7-$D$11)^2/2-$D$5*(Q7-$D$11)^3/6)/($D$6*$D$7)</f>
        <v>-0.015181069038732753</v>
      </c>
      <c r="U7" s="66">
        <f t="shared" si="5"/>
        <v>-6.12</v>
      </c>
      <c r="V7" s="59">
        <f>(U8-2*U7+U6)/($D$4^2)*$D$6*$D$7</f>
        <v>39139999.999999605</v>
      </c>
      <c r="W7" s="99">
        <f t="shared" si="7"/>
        <v>14.789873084185787</v>
      </c>
      <c r="X7" s="8"/>
      <c r="Y7" s="8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5"/>
      <c r="AN7" s="1"/>
      <c r="AO7" s="1"/>
    </row>
    <row r="8" spans="1:41" ht="18.75" customHeight="1">
      <c r="A8" s="27">
        <v>8</v>
      </c>
      <c r="B8" s="105" t="s">
        <v>17</v>
      </c>
      <c r="C8" s="17" t="s">
        <v>33</v>
      </c>
      <c r="D8" s="18">
        <v>9000</v>
      </c>
      <c r="E8" s="110" t="s">
        <v>1</v>
      </c>
      <c r="F8" s="10"/>
      <c r="G8" s="80">
        <v>4</v>
      </c>
      <c r="H8" s="46">
        <f>H7+$D$4</f>
        <v>600</v>
      </c>
      <c r="I8" s="48">
        <f t="shared" si="0"/>
        <v>84848.7416</v>
      </c>
      <c r="J8" s="54">
        <f t="shared" si="1"/>
        <v>51086531.279999994</v>
      </c>
      <c r="K8" s="43">
        <f>$K$5+($D$10*(H8-$D$11)^2/2-$D$5*(H8-$D$11)^3/6)/($D$6*$D$7)</f>
        <v>-0.014963414000613183</v>
      </c>
      <c r="L8" s="67">
        <f t="shared" si="2"/>
        <v>-9.134811362636688</v>
      </c>
      <c r="M8" s="59">
        <f>(L9-2*L8+L7)/($D$4^2)*$D$6*$D$7</f>
        <v>51083248.20000015</v>
      </c>
      <c r="N8" s="99">
        <f t="shared" si="6"/>
        <v>-0.006426507961261898</v>
      </c>
      <c r="P8" s="80">
        <v>4</v>
      </c>
      <c r="Q8" s="46">
        <f>Q7+$D$4</f>
        <v>600</v>
      </c>
      <c r="R8" s="48">
        <f t="shared" si="3"/>
        <v>84848.7416</v>
      </c>
      <c r="S8" s="54">
        <f t="shared" si="4"/>
        <v>51086531.279999994</v>
      </c>
      <c r="T8" s="43">
        <f>$K$5+($D$10*(Q8-$D$11)^2/2-$D$5*(Q8-$D$11)^3/6)/($D$6*$D$7)</f>
        <v>-0.014963414000613183</v>
      </c>
      <c r="U8" s="66">
        <f t="shared" si="5"/>
        <v>-9.13</v>
      </c>
      <c r="V8" s="59">
        <f>(U9-2*U8+U7)/($D$4^2)*$D$6*$D$7</f>
        <v>39140000.00000177</v>
      </c>
      <c r="W8" s="99">
        <f t="shared" si="7"/>
        <v>-23.3848941798779</v>
      </c>
      <c r="X8" s="8"/>
      <c r="Y8" s="8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5"/>
      <c r="AN8" s="1"/>
      <c r="AO8" s="1"/>
    </row>
    <row r="9" spans="1:41" ht="18.75" customHeight="1">
      <c r="A9" s="27">
        <v>9</v>
      </c>
      <c r="B9" s="105"/>
      <c r="C9" s="17" t="s">
        <v>34</v>
      </c>
      <c r="D9" s="18">
        <v>50000</v>
      </c>
      <c r="E9" s="110"/>
      <c r="F9" s="10"/>
      <c r="G9" s="80">
        <v>5</v>
      </c>
      <c r="H9" s="46">
        <f>H8+$D$4</f>
        <v>800</v>
      </c>
      <c r="I9" s="48">
        <f t="shared" si="0"/>
        <v>84651.7568</v>
      </c>
      <c r="J9" s="54">
        <f t="shared" si="1"/>
        <v>68036581.11999999</v>
      </c>
      <c r="K9" s="43">
        <f>$K$5+($D$10*(H9-$D$11)^2/2-$D$5*(H9-$D$11)^3/6)/($D$6*$D$7)</f>
        <v>-0.014659045889831374</v>
      </c>
      <c r="L9" s="67">
        <f t="shared" si="2"/>
        <v>-12.098500891950263</v>
      </c>
      <c r="M9" s="59">
        <f>(L10-2*L9+L8)/($D$4^2)*$D$6*$D$7</f>
        <v>68033298.03999726</v>
      </c>
      <c r="N9" s="99">
        <f t="shared" si="6"/>
        <v>-0.0048254629328516215</v>
      </c>
      <c r="P9" s="80">
        <v>5</v>
      </c>
      <c r="Q9" s="46">
        <f>Q8+$D$4</f>
        <v>800</v>
      </c>
      <c r="R9" s="48">
        <f t="shared" si="3"/>
        <v>84651.7568</v>
      </c>
      <c r="S9" s="54">
        <f t="shared" si="4"/>
        <v>68036581.11999999</v>
      </c>
      <c r="T9" s="43">
        <f>$K$5+($D$10*(Q9-$D$11)^2/2-$D$5*(Q9-$D$11)^3/6)/($D$6*$D$7)</f>
        <v>-0.014659045889831374</v>
      </c>
      <c r="U9" s="66">
        <f t="shared" si="5"/>
        <v>-12.1</v>
      </c>
      <c r="V9" s="59">
        <f>(U10-2*U9+U8)/($D$4^2)*$D$6*$D$7</f>
        <v>78279999.99999835</v>
      </c>
      <c r="W9" s="99">
        <f t="shared" si="7"/>
        <v>15.05575193722838</v>
      </c>
      <c r="X9" s="8"/>
      <c r="Y9" s="8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5"/>
      <c r="AN9" s="1"/>
      <c r="AO9" s="1"/>
    </row>
    <row r="10" spans="1:41" ht="18.75" customHeight="1" thickBot="1">
      <c r="A10" s="29">
        <v>10</v>
      </c>
      <c r="B10" s="22" t="s">
        <v>19</v>
      </c>
      <c r="C10" s="20" t="s">
        <v>57</v>
      </c>
      <c r="D10" s="41">
        <f>(D5*D3+D8*7+D9*2)/2</f>
        <v>85439.696</v>
      </c>
      <c r="E10" s="110"/>
      <c r="F10" s="13"/>
      <c r="G10" s="81">
        <v>6</v>
      </c>
      <c r="H10" s="47">
        <f>H9+$D$4</f>
        <v>1000</v>
      </c>
      <c r="I10" s="49">
        <f t="shared" si="0"/>
        <v>84454.772</v>
      </c>
      <c r="J10" s="55">
        <f t="shared" si="1"/>
        <v>84947234</v>
      </c>
      <c r="K10" s="44">
        <f>$K$5+($D$10*(H10-$D$11)^2/2-$D$5*(H10-$D$11)^3/6)/($D$6*$D$7)</f>
        <v>-0.014268166019417475</v>
      </c>
      <c r="L10" s="68">
        <f t="shared" si="2"/>
        <v>-14.9926622679271</v>
      </c>
      <c r="M10" s="98">
        <f>(L12-2*L10+L9)/($D$4^2)*$D$6*$D$7</f>
        <v>84643950.92000568</v>
      </c>
      <c r="N10" s="100">
        <f t="shared" si="6"/>
        <v>-0.3570252564013101</v>
      </c>
      <c r="P10" s="81">
        <v>6</v>
      </c>
      <c r="Q10" s="47">
        <f>Q9+$D$4</f>
        <v>1000</v>
      </c>
      <c r="R10" s="49">
        <f t="shared" si="3"/>
        <v>84454.772</v>
      </c>
      <c r="S10" s="55">
        <f t="shared" si="4"/>
        <v>84947234</v>
      </c>
      <c r="T10" s="44">
        <f>$K$5+($D$10*(Q10-$D$11)^2/2-$D$5*(Q10-$D$11)^3/6)/($D$6*$D$7)</f>
        <v>-0.014268166019417475</v>
      </c>
      <c r="U10" s="68">
        <f t="shared" si="5"/>
        <v>-14.99</v>
      </c>
      <c r="V10" s="98">
        <f>(U12-2*U10+U9)/($D$4^2)*$D$6*$D$7</f>
        <v>78280000.00000006</v>
      </c>
      <c r="W10" s="100">
        <f t="shared" si="7"/>
        <v>-7.848676979876639</v>
      </c>
      <c r="X10" s="8"/>
      <c r="Y10" s="8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5"/>
      <c r="AN10" s="1"/>
      <c r="AO10" s="1"/>
    </row>
    <row r="11" spans="1:41" ht="18.75" customHeight="1">
      <c r="A11" s="27">
        <v>11</v>
      </c>
      <c r="B11" s="104" t="s">
        <v>21</v>
      </c>
      <c r="C11" s="17" t="s">
        <v>22</v>
      </c>
      <c r="D11" s="23">
        <v>0</v>
      </c>
      <c r="E11" s="110" t="s">
        <v>2</v>
      </c>
      <c r="F11" s="10"/>
      <c r="G11" s="79">
        <v>6</v>
      </c>
      <c r="H11" s="95">
        <f>H10</f>
        <v>1000</v>
      </c>
      <c r="I11" s="50">
        <f aca="true" t="shared" si="8" ref="I11:I16">$D$10-1*$D$8-$D$5*(H11-$D$11)</f>
        <v>75454.772</v>
      </c>
      <c r="J11" s="53">
        <f aca="true" t="shared" si="9" ref="J11:J16">$D$10*(H11-$D$11)-$D$8*(H11-$D$12)-$D$5*(H11-$D$11)^2/2</f>
        <v>84947234</v>
      </c>
      <c r="K11" s="96">
        <f aca="true" t="shared" si="10" ref="K11:K16">$K$5+($D$10*(H11-$D$11)^2/2-$D$8*(H11-$D$12)^2/2-$D$5*(H11-$D$11)^3/6)/($D$6*$D$7)</f>
        <v>-0.014268166019417475</v>
      </c>
      <c r="L11" s="66">
        <f aca="true" t="shared" si="11" ref="L11:L16">$K$5*H11+($D$10*(H11-$D$11)^3/6-$D$8*(H11-$D$12)^3/6-$D$5*(H11-$D$11)^4/24)/($D$6*$D$7)</f>
        <v>-14.9926622679271</v>
      </c>
      <c r="M11" s="97">
        <f>(L12-2*L11+L9)/($D$4^2)*$D$6*$D$7</f>
        <v>84643950.92000568</v>
      </c>
      <c r="N11" s="101">
        <f t="shared" si="6"/>
        <v>-0.3570252564013101</v>
      </c>
      <c r="P11" s="79">
        <v>6</v>
      </c>
      <c r="Q11" s="95">
        <f>Q10</f>
        <v>1000</v>
      </c>
      <c r="R11" s="50">
        <f aca="true" t="shared" si="12" ref="R11:R16">$D$10-1*$D$8-$D$5*(Q11-$D$11)</f>
        <v>75454.772</v>
      </c>
      <c r="S11" s="53">
        <f aca="true" t="shared" si="13" ref="S11:S16">$D$10*(Q11-$D$11)-$D$8*(Q11-$D$12)-$D$5*(Q11-$D$11)^2/2</f>
        <v>84947234</v>
      </c>
      <c r="T11" s="96">
        <f aca="true" t="shared" si="14" ref="T11:T16">$K$5+($D$10*(Q11-$D$11)^2/2-$D$8*(Q11-$D$12)^2/2-$D$5*(Q11-$D$11)^3/6)/($D$6*$D$7)</f>
        <v>-0.014268166019417475</v>
      </c>
      <c r="U11" s="66">
        <f aca="true" t="shared" si="15" ref="U11:U16">ROUND(($K$5*Q11+($D$10*(Q11-$D$11)^3/6-$D$8*(Q11-$D$12)^3/6-$D$5*(Q11-$D$11)^4/24)/($D$6*$D$7)),2)</f>
        <v>-14.99</v>
      </c>
      <c r="V11" s="97">
        <f>(U12-2*U11+U9)/($D$4^2)*$D$6*$D$7</f>
        <v>78280000.00000006</v>
      </c>
      <c r="W11" s="101">
        <f t="shared" si="7"/>
        <v>-7.848676979876639</v>
      </c>
      <c r="X11" s="8"/>
      <c r="Y11" s="8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3"/>
      <c r="AN11" s="1"/>
      <c r="AO11" s="1"/>
    </row>
    <row r="12" spans="1:41" ht="18.75" customHeight="1">
      <c r="A12" s="27">
        <v>12</v>
      </c>
      <c r="B12" s="105"/>
      <c r="C12" s="17" t="s">
        <v>25</v>
      </c>
      <c r="D12" s="23">
        <v>1000</v>
      </c>
      <c r="E12" s="110"/>
      <c r="F12" s="10"/>
      <c r="G12" s="80">
        <v>7</v>
      </c>
      <c r="H12" s="46">
        <f>H11+$D$4</f>
        <v>1200</v>
      </c>
      <c r="I12" s="48">
        <f t="shared" si="8"/>
        <v>75257.78719999999</v>
      </c>
      <c r="J12" s="54">
        <f t="shared" si="9"/>
        <v>100018489.91999999</v>
      </c>
      <c r="K12" s="43">
        <f t="shared" si="10"/>
        <v>-0.013795574578231988</v>
      </c>
      <c r="L12" s="67">
        <f t="shared" si="11"/>
        <v>-17.800319861665812</v>
      </c>
      <c r="M12" s="59">
        <f>(L13-2*L12+L11)/($D$4^2)*$D$6*$D$7</f>
        <v>100015206.83999667</v>
      </c>
      <c r="N12" s="99">
        <f t="shared" si="6"/>
        <v>-0.003282473076675272</v>
      </c>
      <c r="P12" s="80">
        <v>7</v>
      </c>
      <c r="Q12" s="46">
        <f>Q11+$D$4</f>
        <v>1200</v>
      </c>
      <c r="R12" s="48">
        <f t="shared" si="12"/>
        <v>75257.78719999999</v>
      </c>
      <c r="S12" s="54">
        <f t="shared" si="13"/>
        <v>100018489.91999999</v>
      </c>
      <c r="T12" s="43">
        <f t="shared" si="14"/>
        <v>-0.013795574578231988</v>
      </c>
      <c r="U12" s="67">
        <f t="shared" si="15"/>
        <v>-17.8</v>
      </c>
      <c r="V12" s="59">
        <f>(U13-2*U12+U11)/($D$4^2)*$D$6*$D$7</f>
        <v>97849999.99999967</v>
      </c>
      <c r="W12" s="99">
        <f t="shared" si="7"/>
        <v>-2.1680890420709074</v>
      </c>
      <c r="X12" s="8"/>
      <c r="Y12" s="8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2"/>
      <c r="AN12" s="1"/>
      <c r="AO12" s="1"/>
    </row>
    <row r="13" spans="1:41" ht="18.75" customHeight="1">
      <c r="A13" s="27">
        <v>13</v>
      </c>
      <c r="B13" s="105"/>
      <c r="C13" s="17" t="s">
        <v>23</v>
      </c>
      <c r="D13" s="23">
        <v>2000</v>
      </c>
      <c r="E13" s="110"/>
      <c r="F13" s="13"/>
      <c r="G13" s="80">
        <v>8</v>
      </c>
      <c r="H13" s="46">
        <f>H12+$D$4</f>
        <v>1400</v>
      </c>
      <c r="I13" s="48">
        <f t="shared" si="8"/>
        <v>75060.8024</v>
      </c>
      <c r="J13" s="54">
        <f t="shared" si="9"/>
        <v>115050348.88</v>
      </c>
      <c r="K13" s="43">
        <f t="shared" si="10"/>
        <v>-0.01324607175513541</v>
      </c>
      <c r="L13" s="67">
        <f t="shared" si="11"/>
        <v>-20.505764673759153</v>
      </c>
      <c r="M13" s="59">
        <f>(L14-2*L13+L12)/($D$4^2)*$D$6*$D$7</f>
        <v>115047065.80000068</v>
      </c>
      <c r="N13" s="99">
        <f t="shared" si="6"/>
        <v>-0.0028536028193509276</v>
      </c>
      <c r="P13" s="80">
        <v>8</v>
      </c>
      <c r="Q13" s="46">
        <f>Q12+$D$4</f>
        <v>1400</v>
      </c>
      <c r="R13" s="48">
        <f t="shared" si="12"/>
        <v>75060.8024</v>
      </c>
      <c r="S13" s="54">
        <f t="shared" si="13"/>
        <v>115050348.88</v>
      </c>
      <c r="T13" s="43">
        <f t="shared" si="14"/>
        <v>-0.01324607175513541</v>
      </c>
      <c r="U13" s="67">
        <f t="shared" si="15"/>
        <v>-20.51</v>
      </c>
      <c r="V13" s="59">
        <f>(U14-2*U13+U12)/($D$4^2)*$D$6*$D$7</f>
        <v>127205000.00000249</v>
      </c>
      <c r="W13" s="99">
        <f t="shared" si="7"/>
        <v>10.564636472923745</v>
      </c>
      <c r="X13" s="8"/>
      <c r="Y13" s="8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8.75" customHeight="1">
      <c r="A14" s="27">
        <v>14</v>
      </c>
      <c r="B14" s="105"/>
      <c r="C14" s="17" t="s">
        <v>26</v>
      </c>
      <c r="D14" s="23">
        <v>3000</v>
      </c>
      <c r="E14" s="110"/>
      <c r="F14" s="11"/>
      <c r="G14" s="80">
        <v>9</v>
      </c>
      <c r="H14" s="46">
        <f>H13+$D$4</f>
        <v>1600</v>
      </c>
      <c r="I14" s="48">
        <f t="shared" si="8"/>
        <v>74863.8176</v>
      </c>
      <c r="J14" s="54">
        <f t="shared" si="9"/>
        <v>130042810.88</v>
      </c>
      <c r="K14" s="43">
        <f t="shared" si="10"/>
        <v>-0.012619858863157894</v>
      </c>
      <c r="L14" s="67">
        <f t="shared" si="11"/>
        <v>-23.093634559127914</v>
      </c>
      <c r="M14" s="59">
        <f>(L15-2*L14+L13)/($D$4^2)*$D$6*$D$7</f>
        <v>130039527.79999778</v>
      </c>
      <c r="N14" s="99">
        <f t="shared" si="6"/>
        <v>-0.002524614763401279</v>
      </c>
      <c r="P14" s="80">
        <v>9</v>
      </c>
      <c r="Q14" s="46">
        <f>Q13+$D$4</f>
        <v>1600</v>
      </c>
      <c r="R14" s="48">
        <f t="shared" si="12"/>
        <v>74863.8176</v>
      </c>
      <c r="S14" s="54">
        <f t="shared" si="13"/>
        <v>130042810.88</v>
      </c>
      <c r="T14" s="43">
        <f t="shared" si="14"/>
        <v>-0.012619858863157894</v>
      </c>
      <c r="U14" s="67">
        <f t="shared" si="15"/>
        <v>-23.09</v>
      </c>
      <c r="V14" s="59">
        <f>(U15-2*U14+U13)/($D$4^2)*$D$6*$D$7</f>
        <v>117419999.99999751</v>
      </c>
      <c r="W14" s="99">
        <f t="shared" si="7"/>
        <v>-9.706657980232736</v>
      </c>
      <c r="X14" s="8"/>
      <c r="Y14" s="8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0" ht="18.75" customHeight="1">
      <c r="A15" s="27">
        <v>15</v>
      </c>
      <c r="B15" s="105"/>
      <c r="C15" s="17" t="s">
        <v>24</v>
      </c>
      <c r="D15" s="23">
        <v>3400</v>
      </c>
      <c r="E15" s="110"/>
      <c r="F15" s="11"/>
      <c r="G15" s="80">
        <v>10</v>
      </c>
      <c r="H15" s="46">
        <f>H14+$D$4</f>
        <v>1800</v>
      </c>
      <c r="I15" s="48">
        <f t="shared" si="8"/>
        <v>74666.83279999999</v>
      </c>
      <c r="J15" s="54">
        <f t="shared" si="9"/>
        <v>144995875.92</v>
      </c>
      <c r="K15" s="43">
        <f t="shared" si="10"/>
        <v>-0.011917137215329585</v>
      </c>
      <c r="L15" s="67">
        <f t="shared" si="11"/>
        <v>-25.548607635298925</v>
      </c>
      <c r="M15" s="59">
        <f>(L16-2*L15+L14)/($D$4^2)*$D$6*$D$7</f>
        <v>144992592.84000006</v>
      </c>
      <c r="N15" s="99">
        <f t="shared" si="6"/>
        <v>-0.0022642575032514115</v>
      </c>
      <c r="P15" s="80">
        <v>10</v>
      </c>
      <c r="Q15" s="46">
        <f>Q14+$D$4</f>
        <v>1800</v>
      </c>
      <c r="R15" s="48">
        <f t="shared" si="12"/>
        <v>74666.83279999999</v>
      </c>
      <c r="S15" s="54">
        <f t="shared" si="13"/>
        <v>144995875.92</v>
      </c>
      <c r="T15" s="43">
        <f t="shared" si="14"/>
        <v>-0.011917137215329585</v>
      </c>
      <c r="U15" s="67">
        <f t="shared" si="15"/>
        <v>-25.55</v>
      </c>
      <c r="V15" s="59">
        <f>(U16-2*U15+U14)/($D$4^2)*$D$6*$D$7</f>
        <v>146775000.00000212</v>
      </c>
      <c r="W15" s="99">
        <f t="shared" si="7"/>
        <v>1.2270170228729422</v>
      </c>
      <c r="X15" s="8"/>
      <c r="Y15" s="8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39" ht="18.75" customHeight="1" thickBot="1">
      <c r="A16" s="27">
        <v>16</v>
      </c>
      <c r="B16" s="105"/>
      <c r="C16" s="17" t="s">
        <v>27</v>
      </c>
      <c r="D16" s="23">
        <v>4000</v>
      </c>
      <c r="E16" s="110"/>
      <c r="F16" s="11"/>
      <c r="G16" s="81">
        <v>11</v>
      </c>
      <c r="H16" s="47">
        <f>H15+$D$4</f>
        <v>2000</v>
      </c>
      <c r="I16" s="49">
        <f t="shared" si="8"/>
        <v>74469.848</v>
      </c>
      <c r="J16" s="55">
        <f t="shared" si="9"/>
        <v>159909544</v>
      </c>
      <c r="K16" s="44">
        <f t="shared" si="10"/>
        <v>-0.011138108124680633</v>
      </c>
      <c r="L16" s="68">
        <f t="shared" si="11"/>
        <v>-27.85540228240504</v>
      </c>
      <c r="M16" s="98">
        <f>(L18-2*L16+L15)/($D$4^2)*$D$6*$D$7</f>
        <v>159606260.92000496</v>
      </c>
      <c r="N16" s="100">
        <f t="shared" si="6"/>
        <v>-0.18965914879666979</v>
      </c>
      <c r="P16" s="81">
        <v>11</v>
      </c>
      <c r="Q16" s="47">
        <f>Q15+$D$4</f>
        <v>2000</v>
      </c>
      <c r="R16" s="49">
        <f t="shared" si="12"/>
        <v>74469.848</v>
      </c>
      <c r="S16" s="55">
        <f t="shared" si="13"/>
        <v>159909544</v>
      </c>
      <c r="T16" s="44">
        <f t="shared" si="14"/>
        <v>-0.011138108124680633</v>
      </c>
      <c r="U16" s="68">
        <f t="shared" si="15"/>
        <v>-27.86</v>
      </c>
      <c r="V16" s="98">
        <f>(U18-2*U16+U15)/($D$4^2)*$D$6*$D$7</f>
        <v>166344999.9999982</v>
      </c>
      <c r="W16" s="100">
        <f t="shared" si="7"/>
        <v>4.0244352144473705</v>
      </c>
      <c r="X16" s="8"/>
      <c r="Y16" s="8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8.75" customHeight="1">
      <c r="A17" s="27">
        <v>17</v>
      </c>
      <c r="B17" s="105"/>
      <c r="C17" s="17" t="s">
        <v>32</v>
      </c>
      <c r="D17" s="23">
        <v>4600</v>
      </c>
      <c r="E17" s="110"/>
      <c r="F17" s="11"/>
      <c r="G17" s="79">
        <v>11</v>
      </c>
      <c r="H17" s="95">
        <f>H16</f>
        <v>2000</v>
      </c>
      <c r="I17" s="50">
        <f aca="true" t="shared" si="16" ref="I17:I22">$D$10-2*$D$8-$D$5*(H17-$D$11)</f>
        <v>65469.848</v>
      </c>
      <c r="J17" s="53">
        <f aca="true" t="shared" si="17" ref="J17:J22">$D$10*(H17-$D$11)-$D$8*(H17-$D$12)-$D$8*(H17-$D$13)-$D$5*(H17-$D$11)^2/2</f>
        <v>159909544</v>
      </c>
      <c r="K17" s="96">
        <f aca="true" t="shared" si="18" ref="K17:K22">$K$5+($D$10*(H17-$D$11)^2/2-$D$8*(H17-$D$12)^2/2-$D$8*(H17-$D$13)^2/2-$D$5*(H17-$D$11)^3/6)/($D$6*$D$7)</f>
        <v>-0.011138108124680633</v>
      </c>
      <c r="L17" s="66">
        <f aca="true" t="shared" si="19" ref="L17:L22">$K$5*H17+($D$10*(H17-$D$11)^3/6-$D$8*(H17-$D$12)^3/6-$D$8*(H17-$D$13)^3/6-$D$5*(H17-$D$11)^4/24)/($D$6*$D$7)</f>
        <v>-27.85540228240504</v>
      </c>
      <c r="M17" s="97">
        <f>(L18-2*L17+L15)/($D$4^2)*$D$6*$D$7</f>
        <v>159606260.92000496</v>
      </c>
      <c r="N17" s="101">
        <f t="shared" si="6"/>
        <v>-0.18965914879666979</v>
      </c>
      <c r="P17" s="79">
        <v>11</v>
      </c>
      <c r="Q17" s="95">
        <f>Q16</f>
        <v>2000</v>
      </c>
      <c r="R17" s="50">
        <f aca="true" t="shared" si="20" ref="R17:R22">$D$10-2*$D$8-$D$5*(Q17-$D$11)</f>
        <v>65469.848</v>
      </c>
      <c r="S17" s="53">
        <f aca="true" t="shared" si="21" ref="S17:S22">$D$10*(Q17-$D$11)-$D$8*(Q17-$D$12)-$D$8*(Q17-$D$13)-$D$5*(Q17-$D$11)^2/2</f>
        <v>159909544</v>
      </c>
      <c r="T17" s="96">
        <f aca="true" t="shared" si="22" ref="T17:T22">$K$5+($D$10*(Q17-$D$11)^2/2-$D$8*(Q17-$D$12)^2/2-$D$8*(Q17-$D$13)^2/2-$D$5*(Q17-$D$11)^3/6)/($D$6*$D$7)</f>
        <v>-0.011138108124680633</v>
      </c>
      <c r="U17" s="66">
        <f aca="true" t="shared" si="23" ref="U17:U22">ROUND(($K$5*Q17+($D$10*(Q17-$D$11)^3/6-$D$8*(Q17-$D$12)^3/6-$D$8*(Q17-$D$13)^3/6-$D$5*(Q17-$D$11)^4/24)/($D$6*$D$7)),2)</f>
        <v>-27.86</v>
      </c>
      <c r="V17" s="97">
        <f>(U18-2*U17+U15)/($D$4^2)*$D$6*$D$7</f>
        <v>166344999.9999982</v>
      </c>
      <c r="W17" s="101">
        <f t="shared" si="7"/>
        <v>4.0244352144473705</v>
      </c>
      <c r="X17" s="8"/>
      <c r="Y17" s="8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4"/>
      <c r="AL17" s="1"/>
      <c r="AM17" s="1"/>
    </row>
    <row r="18" spans="1:39" ht="18.75" customHeight="1">
      <c r="A18" s="27">
        <v>18</v>
      </c>
      <c r="B18" s="105"/>
      <c r="C18" s="17" t="s">
        <v>28</v>
      </c>
      <c r="D18" s="23">
        <v>5000</v>
      </c>
      <c r="E18" s="110"/>
      <c r="F18" s="11"/>
      <c r="G18" s="80">
        <v>12</v>
      </c>
      <c r="H18" s="46">
        <f>H17+$D$4</f>
        <v>2200</v>
      </c>
      <c r="I18" s="48">
        <f t="shared" si="16"/>
        <v>65272.86319999999</v>
      </c>
      <c r="J18" s="54">
        <f t="shared" si="17"/>
        <v>172983815.11999997</v>
      </c>
      <c r="K18" s="43">
        <f t="shared" si="18"/>
        <v>-0.010287571780071537</v>
      </c>
      <c r="L18" s="67">
        <f t="shared" si="19"/>
        <v>-29.999083734907167</v>
      </c>
      <c r="M18" s="59">
        <f>(L19-2*L18+L17)/($D$4^2)*$D$6*$D$7</f>
        <v>172980532.03999418</v>
      </c>
      <c r="N18" s="99">
        <f t="shared" si="6"/>
        <v>-0.001897911665040611</v>
      </c>
      <c r="P18" s="80">
        <v>12</v>
      </c>
      <c r="Q18" s="46">
        <f>Q17+$D$4</f>
        <v>2200</v>
      </c>
      <c r="R18" s="48">
        <f t="shared" si="20"/>
        <v>65272.86319999999</v>
      </c>
      <c r="S18" s="54">
        <f t="shared" si="21"/>
        <v>172983815.11999997</v>
      </c>
      <c r="T18" s="43">
        <f t="shared" si="22"/>
        <v>-0.010287571780071537</v>
      </c>
      <c r="U18" s="67">
        <f t="shared" si="23"/>
        <v>-30</v>
      </c>
      <c r="V18" s="59">
        <f>(U19-2*U18+U17)/($D$4^2)*$D$6*$D$7</f>
        <v>166345000.00000167</v>
      </c>
      <c r="W18" s="99">
        <f t="shared" si="7"/>
        <v>-3.8378244319521553</v>
      </c>
      <c r="X18" s="8"/>
      <c r="Y18" s="8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8.75" customHeight="1">
      <c r="A19" s="27">
        <v>19</v>
      </c>
      <c r="B19" s="105"/>
      <c r="C19" s="17" t="s">
        <v>29</v>
      </c>
      <c r="D19" s="23">
        <v>6000</v>
      </c>
      <c r="E19" s="110"/>
      <c r="F19" s="11"/>
      <c r="G19" s="80">
        <v>13</v>
      </c>
      <c r="H19" s="46">
        <f>H18+$D$4</f>
        <v>2400</v>
      </c>
      <c r="I19" s="48">
        <f t="shared" si="16"/>
        <v>65075.878399999994</v>
      </c>
      <c r="J19" s="54">
        <f t="shared" si="17"/>
        <v>186018689.27999997</v>
      </c>
      <c r="K19" s="43">
        <f t="shared" si="18"/>
        <v>-0.0093703283703628</v>
      </c>
      <c r="L19" s="67">
        <f t="shared" si="19"/>
        <v>-31.965983856760346</v>
      </c>
      <c r="M19" s="59">
        <f>(L20-2*L19+L18)/($D$4^2)*$D$6*$D$7</f>
        <v>186015406.2000034</v>
      </c>
      <c r="N19" s="99">
        <f t="shared" si="6"/>
        <v>-0.0017649194332533288</v>
      </c>
      <c r="P19" s="80">
        <v>13</v>
      </c>
      <c r="Q19" s="46">
        <f>Q18+$D$4</f>
        <v>2400</v>
      </c>
      <c r="R19" s="48">
        <f t="shared" si="20"/>
        <v>65075.878399999994</v>
      </c>
      <c r="S19" s="54">
        <f t="shared" si="21"/>
        <v>186018689.27999997</v>
      </c>
      <c r="T19" s="43">
        <f t="shared" si="22"/>
        <v>-0.0093703283703628</v>
      </c>
      <c r="U19" s="67">
        <f t="shared" si="23"/>
        <v>-31.97</v>
      </c>
      <c r="V19" s="59">
        <f>(U20-2*U19+U18)/($D$4^2)*$D$6*$D$7</f>
        <v>195699999.99999583</v>
      </c>
      <c r="W19" s="99">
        <f t="shared" si="7"/>
        <v>5.2044828170051805</v>
      </c>
      <c r="X19" s="8"/>
      <c r="Y19" s="8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8.75" customHeight="1">
      <c r="A20" s="27">
        <v>20</v>
      </c>
      <c r="B20" s="105"/>
      <c r="C20" s="17" t="s">
        <v>31</v>
      </c>
      <c r="D20" s="23">
        <v>7000</v>
      </c>
      <c r="E20" s="110"/>
      <c r="F20" s="11"/>
      <c r="G20" s="80">
        <v>14</v>
      </c>
      <c r="H20" s="46">
        <f>H19+$D$4</f>
        <v>2600</v>
      </c>
      <c r="I20" s="48">
        <f t="shared" si="16"/>
        <v>64878.893599999996</v>
      </c>
      <c r="J20" s="54">
        <f t="shared" si="17"/>
        <v>199014166.48</v>
      </c>
      <c r="K20" s="43">
        <f t="shared" si="18"/>
        <v>-0.008386579208584568</v>
      </c>
      <c r="L20" s="67">
        <f t="shared" si="19"/>
        <v>-33.742781366247655</v>
      </c>
      <c r="M20" s="59">
        <f>(L21-2*L20+L19)/($D$4^2)*$D$6*$D$7</f>
        <v>199010883.39999694</v>
      </c>
      <c r="N20" s="99">
        <f t="shared" si="6"/>
        <v>-0.0016496715088786828</v>
      </c>
      <c r="P20" s="80">
        <v>14</v>
      </c>
      <c r="Q20" s="46">
        <f>Q19+$D$4</f>
        <v>2600</v>
      </c>
      <c r="R20" s="48">
        <f t="shared" si="20"/>
        <v>64878.893599999996</v>
      </c>
      <c r="S20" s="54">
        <f t="shared" si="21"/>
        <v>199014166.48</v>
      </c>
      <c r="T20" s="43">
        <f t="shared" si="22"/>
        <v>-0.008386579208584568</v>
      </c>
      <c r="U20" s="67">
        <f t="shared" si="23"/>
        <v>-33.74</v>
      </c>
      <c r="V20" s="59">
        <f>(U21-2*U20+U19)/($D$4^2)*$D$6*$D$7</f>
        <v>185915000.0000047</v>
      </c>
      <c r="W20" s="99">
        <f t="shared" si="7"/>
        <v>-6.58202715499235</v>
      </c>
      <c r="X20" s="8"/>
      <c r="Y20" s="8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8.75" customHeight="1" thickBot="1">
      <c r="A21" s="31">
        <v>21</v>
      </c>
      <c r="B21" s="109"/>
      <c r="C21" s="32" t="s">
        <v>30</v>
      </c>
      <c r="D21" s="33">
        <v>8000</v>
      </c>
      <c r="E21" s="111"/>
      <c r="F21" s="11"/>
      <c r="G21" s="80">
        <v>15</v>
      </c>
      <c r="H21" s="46">
        <f>H20+$D$4</f>
        <v>2800</v>
      </c>
      <c r="I21" s="48">
        <f t="shared" si="16"/>
        <v>64681.9088</v>
      </c>
      <c r="J21" s="54">
        <f t="shared" si="17"/>
        <v>211970246.71999997</v>
      </c>
      <c r="K21" s="43">
        <f t="shared" si="18"/>
        <v>-0.0073365256077669895</v>
      </c>
      <c r="L21" s="67">
        <f t="shared" si="19"/>
        <v>-35.31619524425822</v>
      </c>
      <c r="M21" s="59">
        <f>(L22-2*L21+L20)/($D$4^2)*$D$6*$D$7</f>
        <v>211966963.6400061</v>
      </c>
      <c r="N21" s="99">
        <f t="shared" si="6"/>
        <v>-0.0015488400115939796</v>
      </c>
      <c r="P21" s="80">
        <v>15</v>
      </c>
      <c r="Q21" s="46">
        <f>Q20+$D$4</f>
        <v>2800</v>
      </c>
      <c r="R21" s="48">
        <f t="shared" si="20"/>
        <v>64681.9088</v>
      </c>
      <c r="S21" s="54">
        <f t="shared" si="21"/>
        <v>211970246.71999997</v>
      </c>
      <c r="T21" s="43">
        <f t="shared" si="22"/>
        <v>-0.0073365256077669895</v>
      </c>
      <c r="U21" s="67">
        <f t="shared" si="23"/>
        <v>-35.32</v>
      </c>
      <c r="V21" s="59">
        <f>(U22-2*U21+U20)/($D$4^2)*$D$6*$D$7</f>
        <v>225054999.99999693</v>
      </c>
      <c r="W21" s="99">
        <f t="shared" si="7"/>
        <v>6.172919776463316</v>
      </c>
      <c r="X21" s="8"/>
      <c r="Y21" s="8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6:39" ht="18.75" customHeight="1" thickBot="1">
      <c r="F22" s="11"/>
      <c r="G22" s="81">
        <v>16</v>
      </c>
      <c r="H22" s="47">
        <f>H21+$D$4</f>
        <v>3000</v>
      </c>
      <c r="I22" s="49">
        <f t="shared" si="16"/>
        <v>64484.924</v>
      </c>
      <c r="J22" s="55">
        <f t="shared" si="17"/>
        <v>224886930</v>
      </c>
      <c r="K22" s="44">
        <f t="shared" si="18"/>
        <v>-0.0062203688809402136</v>
      </c>
      <c r="L22" s="68">
        <f t="shared" si="19"/>
        <v>-36.67298473428717</v>
      </c>
      <c r="M22" s="98">
        <f>(L24-2*L22+L21)/($D$4^2)*$D$6*$D$7</f>
        <v>224583646.91999707</v>
      </c>
      <c r="N22" s="100">
        <f t="shared" si="6"/>
        <v>-0.13486025177316163</v>
      </c>
      <c r="P22" s="81">
        <v>16</v>
      </c>
      <c r="Q22" s="47">
        <f>Q21+$D$4</f>
        <v>3000</v>
      </c>
      <c r="R22" s="49">
        <f t="shared" si="20"/>
        <v>64484.924</v>
      </c>
      <c r="S22" s="55">
        <f t="shared" si="21"/>
        <v>224886930</v>
      </c>
      <c r="T22" s="44">
        <f t="shared" si="22"/>
        <v>-0.0062203688809402136</v>
      </c>
      <c r="U22" s="68">
        <f t="shared" si="23"/>
        <v>-36.67</v>
      </c>
      <c r="V22" s="98">
        <f>(U24-2*U22+U21)/($D$4^2)*$D$6*$D$7</f>
        <v>215270000.0000058</v>
      </c>
      <c r="W22" s="100">
        <f t="shared" si="7"/>
        <v>-4.276340114560766</v>
      </c>
      <c r="X22" s="8"/>
      <c r="Y22" s="8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6:39" ht="18.75" customHeight="1">
      <c r="F23" s="11"/>
      <c r="G23" s="79">
        <v>16</v>
      </c>
      <c r="H23" s="95">
        <f>H22</f>
        <v>3000</v>
      </c>
      <c r="I23" s="50">
        <f>$D$10-3*$D$8-$D$5*(H23-$D$11)</f>
        <v>55484.924</v>
      </c>
      <c r="J23" s="53">
        <f>$D$10*(H23-$D$11)-$D$8*(H23-$D$12)-$D$8*(H23-$D$13)-$D$8*(H23-$D$14)-$D$5*(H23-$D$11)^2/2</f>
        <v>224886930</v>
      </c>
      <c r="K23" s="96">
        <f>$K$5+($D$10*(H23-$D$11)^2/2-$D$8*(H23-$D$12)^2/2-$D$8*(H23-$D$13)^2/2-$D$8*(H23-$D$14)^2/2-$D$5*(H23-$D$11)^3/6)/($D$6*$D$7)</f>
        <v>-0.0062203688809402136</v>
      </c>
      <c r="L23" s="66">
        <f>$K$5*H23+($D$10*(H23-$D$11)^3/6-$D$8*(H23-$D$12)^3/6-$D$8*(H23-$D$13)^3/6-$D$8*(H23-$D$14)^3/6-$D$5*(H23-$D$11)^4/24)/($D$6*$D$7)</f>
        <v>-36.67298473428717</v>
      </c>
      <c r="M23" s="97">
        <f>(L24-2*L23+L21)/($D$4^2)*$D$6*$D$7</f>
        <v>224583646.91999707</v>
      </c>
      <c r="N23" s="101">
        <f t="shared" si="6"/>
        <v>-0.13486025177316163</v>
      </c>
      <c r="P23" s="79">
        <v>16</v>
      </c>
      <c r="Q23" s="95">
        <f>Q22</f>
        <v>3000</v>
      </c>
      <c r="R23" s="50">
        <f>$D$10-3*$D$8-$D$5*(Q23-$D$11)</f>
        <v>55484.924</v>
      </c>
      <c r="S23" s="53">
        <f>$D$10*(Q23-$D$11)-$D$8*(Q23-$D$12)-$D$8*(Q23-$D$13)-$D$8*(Q23-$D$14)-$D$5*(Q23-$D$11)^2/2</f>
        <v>224886930</v>
      </c>
      <c r="T23" s="96">
        <f>$K$5+($D$10*(Q23-$D$11)^2/2-$D$8*(Q23-$D$12)^2/2-$D$8*(Q23-$D$13)^2/2-$D$8*(Q23-$D$14)^2/2-$D$5*(Q23-$D$11)^3/6)/($D$6*$D$7)</f>
        <v>-0.0062203688809402136</v>
      </c>
      <c r="U23" s="66">
        <f>ROUND(($K$5*Q23+($D$10*(Q23-$D$11)^3/6-$D$8*(Q23-$D$12)^3/6-$D$8*(Q23-$D$13)^3/6-$D$8*(Q23-$D$14)^3/6-$D$5*(Q23-$D$11)^4/24)/($D$6*$D$7)),2)</f>
        <v>-36.67</v>
      </c>
      <c r="V23" s="97">
        <f>(U24-2*U23+U21)/($D$4^2)*$D$6*$D$7</f>
        <v>215270000.0000058</v>
      </c>
      <c r="W23" s="101">
        <f t="shared" si="7"/>
        <v>-4.276340114560766</v>
      </c>
      <c r="X23" s="8"/>
      <c r="Y23" s="8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6:39" ht="18.75" customHeight="1">
      <c r="F24" s="11"/>
      <c r="G24" s="80">
        <v>17</v>
      </c>
      <c r="H24" s="46">
        <f>H23+$D$4</f>
        <v>3200</v>
      </c>
      <c r="I24" s="48">
        <f>$D$10-3*$D$8-$D$5*(H24-$D$11)</f>
        <v>55287.93919999999</v>
      </c>
      <c r="J24" s="54">
        <f>$D$10*(H24-$D$11)-$D$8*(H24-$D$12)-$D$8*(H24-$D$13)-$D$8*(H24-$D$14)-$D$5*(H24-$D$11)^2/2</f>
        <v>235964216.32</v>
      </c>
      <c r="K24" s="43">
        <f>$K$5+($D$10*(H24-$D$11)^2/2-$D$8*(H24-$D$12)^2/2-$D$8*(H24-$D$13)^2/2-$D$8*(H24-$D$14)^2/2-$D$5*(H24-$D$11)^3/6)/($D$6*$D$7)</f>
        <v>-0.005042909216964741</v>
      </c>
      <c r="L24" s="67">
        <f>$K$5*H24+($D$10*(H24-$D$11)^3/6-$D$8*(H24-$D$12)^3/6-$D$8*(H24-$D$13)^3/6-$D$8*(H24-$D$14)^3/6-$D$5*(H24-$D$11)^4/24)/($D$6*$D$7)</f>
        <v>-37.80025593415772</v>
      </c>
      <c r="M24" s="59">
        <f>(L25-2*L24+L23)/($D$4^2)*$D$6*$D$7</f>
        <v>235960933.2400002</v>
      </c>
      <c r="N24" s="99">
        <f t="shared" si="6"/>
        <v>-0.0013913465571204185</v>
      </c>
      <c r="P24" s="80">
        <v>17</v>
      </c>
      <c r="Q24" s="46">
        <f>Q23+$D$4</f>
        <v>3200</v>
      </c>
      <c r="R24" s="48">
        <f>$D$10-3*$D$8-$D$5*(Q24-$D$11)</f>
        <v>55287.93919999999</v>
      </c>
      <c r="S24" s="54">
        <f>$D$10*(Q24-$D$11)-$D$8*(Q24-$D$12)-$D$8*(Q24-$D$13)-$D$8*(Q24-$D$14)-$D$5*(Q24-$D$11)^2/2</f>
        <v>235964216.32</v>
      </c>
      <c r="T24" s="43">
        <f>$K$5+($D$10*(Q24-$D$11)^2/2-$D$8*(Q24-$D$12)^2/2-$D$8*(Q24-$D$13)^2/2-$D$8*(Q24-$D$14)^2/2-$D$5*(Q24-$D$11)^3/6)/($D$6*$D$7)</f>
        <v>-0.005042909216964741</v>
      </c>
      <c r="U24" s="67">
        <f>ROUND(($K$5*Q24+($D$10*(Q24-$D$11)^3/6-$D$8*(Q24-$D$12)^3/6-$D$8*(Q24-$D$13)^3/6-$D$8*(Q24-$D$14)^3/6-$D$5*(Q24-$D$11)^4/24)/($D$6*$D$7)),2)</f>
        <v>-37.8</v>
      </c>
      <c r="V24" s="59">
        <f>(U25-2*U24+U23)/($D$4^2)*$D$6*$D$7</f>
        <v>234839999.99999502</v>
      </c>
      <c r="W24" s="99">
        <f t="shared" si="7"/>
        <v>-0.47643508729322653</v>
      </c>
      <c r="X24" s="8"/>
      <c r="Y24" s="8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6:39" ht="18.75" customHeight="1" thickBot="1">
      <c r="F25" s="11"/>
      <c r="G25" s="81">
        <v>18</v>
      </c>
      <c r="H25" s="47">
        <f>H24+$D$4</f>
        <v>3400</v>
      </c>
      <c r="I25" s="49">
        <f>$D$10-3*$D$8-$D$5*(H25-$D$11)</f>
        <v>55090.954399999995</v>
      </c>
      <c r="J25" s="55">
        <f>$D$10*(H25-$D$11)-$D$8*(H25-$D$12)-$D$8*(H25-$D$13)-$D$8*(H25-$D$14)-$D$5*(H25-$D$11)^2/2</f>
        <v>247002105.67999998</v>
      </c>
      <c r="K25" s="44">
        <f>$K$5+($D$10*(H25-$D$11)^2/2-$D$8*(H25-$D$12)^2/2-$D$8*(H25-$D$13)^2/2-$D$8*(H25-$D$14)^2/2-$D$5*(H25-$D$11)^3/6)/($D$6*$D$7)</f>
        <v>-0.003808946804701072</v>
      </c>
      <c r="L25" s="68">
        <f>$K$5*H25+($D$10*(H25-$D$11)^3/6-$D$8*(H25-$D$12)^3/6-$D$8*(H25-$D$13)^3/6-$D$8*(H25-$D$14)^3/6-$D$5*(H25-$D$11)^4/24)/($D$6*$D$7)</f>
        <v>-38.686381571187184</v>
      </c>
      <c r="M25" s="98">
        <f>(L27-2*L25+L24)/($D$4^2)*$D$6*$D$7</f>
        <v>245332155.93333158</v>
      </c>
      <c r="N25" s="100">
        <f t="shared" si="6"/>
        <v>-0.6760872511880032</v>
      </c>
      <c r="P25" s="81">
        <v>18</v>
      </c>
      <c r="Q25" s="47">
        <f>Q24+$D$4</f>
        <v>3400</v>
      </c>
      <c r="R25" s="49">
        <f>$D$10-3*$D$8-$D$5*(Q25-$D$11)</f>
        <v>55090.954399999995</v>
      </c>
      <c r="S25" s="55">
        <f>$D$10*(Q25-$D$11)-$D$8*(Q25-$D$12)-$D$8*(Q25-$D$13)-$D$8*(Q25-$D$14)-$D$5*(Q25-$D$11)^2/2</f>
        <v>247002105.67999998</v>
      </c>
      <c r="T25" s="44">
        <f>$K$5+($D$10*(Q25-$D$11)^2/2-$D$8*(Q25-$D$12)^2/2-$D$8*(Q25-$D$13)^2/2-$D$8*(Q25-$D$14)^2/2-$D$5*(Q25-$D$11)^3/6)/($D$6*$D$7)</f>
        <v>-0.003808946804701072</v>
      </c>
      <c r="U25" s="68">
        <f>ROUND(($K$5*Q25+($D$10*(Q25-$D$11)^3/6-$D$8*(Q25-$D$12)^3/6-$D$8*(Q25-$D$13)^3/6-$D$8*(Q25-$D$14)^3/6-$D$5*(Q25-$D$11)^4/24)/($D$6*$D$7)),2)</f>
        <v>-38.69</v>
      </c>
      <c r="V25" s="98">
        <f>(U27-2*U25+U24)/($D$4^2)*$D$6*$D$7</f>
        <v>254409999.99999806</v>
      </c>
      <c r="W25" s="100">
        <f t="shared" si="7"/>
        <v>2.999121930399766</v>
      </c>
      <c r="X25" s="8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7:39" ht="18.75" customHeight="1">
      <c r="G26" s="79">
        <v>18</v>
      </c>
      <c r="H26" s="95">
        <f>H25</f>
        <v>3400</v>
      </c>
      <c r="I26" s="50">
        <f>$D$10-3*$D$8-1*$D$9-$D$5*(H26-$D$11)</f>
        <v>5090.954399999996</v>
      </c>
      <c r="J26" s="53">
        <f>$D$10*(H26-$D$11)-$D$8*(H26-$D$12)-$D$8*(H26-$D$13)-$D$8*(H26-$D$14)-$D$9*(H26-$D$15)-$D$5*(H26-$D$11)^2/2</f>
        <v>247002105.67999998</v>
      </c>
      <c r="K26" s="96">
        <f>$K$5+($D$10*(H26-$D$11)^2/2-$D$8*(H26-$D$12)^2/2-$D$8*(H26-$D$13)^2/2-$D$8*(H26-$D$14)^2/2-$D$9*(H26-$D$15)^2/2-$D$5*(H26-$D$11)^3/6)/($D$6*$D$7)</f>
        <v>-0.003808946804701072</v>
      </c>
      <c r="L26" s="66">
        <f>$K$5*H26+($D$10*(H26-$D$11)^3/6-$D$8*(H26-$D$12)^3/6-$D$8*(H26-$D$13)^3/6-$D$8*(H26-$D$14)^3/6-$D$9*(H26-$D$15)^3/6-$D$5*(H26-$D$11)^4/24)/($D$6*$D$7)</f>
        <v>-38.686381571187184</v>
      </c>
      <c r="M26" s="97">
        <f>(L27-2*L26+L24)/($D$4^2)*$D$6*$D$7</f>
        <v>245332155.93333158</v>
      </c>
      <c r="N26" s="101">
        <f t="shared" si="6"/>
        <v>-0.6760872511880032</v>
      </c>
      <c r="P26" s="79">
        <v>18</v>
      </c>
      <c r="Q26" s="95">
        <f>Q25</f>
        <v>3400</v>
      </c>
      <c r="R26" s="50">
        <f>$D$10-3*$D$8-1*$D$9-$D$5*(Q26-$D$11)</f>
        <v>5090.954399999996</v>
      </c>
      <c r="S26" s="53">
        <f>$D$10*(Q26-$D$11)-$D$8*(Q26-$D$12)-$D$8*(Q26-$D$13)-$D$8*(Q26-$D$14)-$D$9*(Q26-$D$15)-$D$5*(Q26-$D$11)^2/2</f>
        <v>247002105.67999998</v>
      </c>
      <c r="T26" s="96">
        <f>$K$5+($D$10*(Q26-$D$11)^2/2-$D$8*(Q26-$D$12)^2/2-$D$8*(Q26-$D$13)^2/2-$D$8*(Q26-$D$14)^2/2-$D$9*(Q26-$D$15)^2/2-$D$5*(Q26-$D$11)^3/6)/($D$6*$D$7)</f>
        <v>-0.003808946804701072</v>
      </c>
      <c r="U26" s="66">
        <f>ROUND(($K$5*Q26+($D$10*(Q26-$D$11)^3/6-$D$8*(Q26-$D$12)^3/6-$D$8*(Q26-$D$13)^3/6-$D$8*(Q26-$D$14)^3/6-$D$9*(Q26-$D$15)^3/6-$D$5*(Q26-$D$11)^4/24)/($D$6*$D$7)),2)</f>
        <v>-38.69</v>
      </c>
      <c r="V26" s="97">
        <f>(U27-2*U26+U24)/($D$4^2)*$D$6*$D$7</f>
        <v>254409999.99999806</v>
      </c>
      <c r="W26" s="101">
        <f t="shared" si="7"/>
        <v>2.999121930399766</v>
      </c>
      <c r="X26" s="8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7:39" ht="18.75" customHeight="1">
      <c r="G27" s="80">
        <v>19</v>
      </c>
      <c r="H27" s="46">
        <f>H26+$D$4</f>
        <v>3600</v>
      </c>
      <c r="I27" s="48">
        <f>$D$10-3*$D$8-1*$D$9-$D$5*(H27-$D$11)</f>
        <v>4893.969599999996</v>
      </c>
      <c r="J27" s="54">
        <f>$D$10*(H27-$D$11)-$D$8*(H27-$D$12)-$D$8*(H27-$D$13)-$D$8*(H27-$D$14)-$D$9*(H27-$D$15)-$D$5*(H27-$D$11)^2/2</f>
        <v>248000598.07999995</v>
      </c>
      <c r="K27" s="43">
        <f>$K$5+($D$10*(H27-$D$11)^2/2-$D$8*(H27-$D$12)^2/2-$D$8*(H27-$D$13)^2/2-$D$8*(H27-$D$14)^2/2-$D$9*(H27-$D$15)^2/2-$D$5*(H27-$D$11)^3/6)/($D$6*$D$7)</f>
        <v>-0.002544232267347981</v>
      </c>
      <c r="L27" s="67">
        <f>$K$5*H27+($D$10*(H27-$D$11)^3/6-$D$8*(H27-$D$12)^3/6-$D$8*(H27-$D$13)^3/6-$D$8*(H27-$D$14)^3/6-$D$9*(H27-$D$15)^3/6-$D$5*(H27-$D$11)^4/24)/($D$6*$D$7)</f>
        <v>-39.32178451436552</v>
      </c>
      <c r="M27" s="59">
        <f>(L28-2*L27+L26)/($D$4^2)*$D$6*$D$7</f>
        <v>247997314.99999544</v>
      </c>
      <c r="N27" s="99">
        <f t="shared" si="6"/>
        <v>-0.0013238193899251037</v>
      </c>
      <c r="P27" s="80">
        <v>19</v>
      </c>
      <c r="Q27" s="46">
        <f>Q26+$D$4</f>
        <v>3600</v>
      </c>
      <c r="R27" s="48">
        <f>$D$10-3*$D$8-1*$D$9-$D$5*(Q27-$D$11)</f>
        <v>4893.969599999996</v>
      </c>
      <c r="S27" s="54">
        <f>$D$10*(Q27-$D$11)-$D$8*(Q27-$D$12)-$D$8*(Q27-$D$13)-$D$8*(Q27-$D$14)-$D$9*(Q27-$D$15)-$D$5*(Q27-$D$11)^2/2</f>
        <v>248000598.07999995</v>
      </c>
      <c r="T27" s="43">
        <f>$K$5+($D$10*(Q27-$D$11)^2/2-$D$8*(Q27-$D$12)^2/2-$D$8*(Q27-$D$13)^2/2-$D$8*(Q27-$D$14)^2/2-$D$9*(Q27-$D$15)^2/2-$D$5*(Q27-$D$11)^3/6)/($D$6*$D$7)</f>
        <v>-0.002544232267347981</v>
      </c>
      <c r="U27" s="67">
        <f>ROUND(($K$5*Q27+($D$10*(Q27-$D$11)^3/6-$D$8*(Q27-$D$12)^3/6-$D$8*(Q27-$D$13)^3/6-$D$8*(Q27-$D$14)^3/6-$D$9*(Q27-$D$15)^3/6-$D$5*(Q27-$D$11)^4/24)/($D$6*$D$7)),2)</f>
        <v>-39.32</v>
      </c>
      <c r="V27" s="59">
        <f>(U28-2*U27+U26)/($D$4^2)*$D$6*$D$7</f>
        <v>244625000.00000003</v>
      </c>
      <c r="W27" s="99">
        <f t="shared" si="7"/>
        <v>-1.3611249755579318</v>
      </c>
      <c r="X27" s="8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7:39" ht="18.75" customHeight="1">
      <c r="G28" s="80">
        <v>20</v>
      </c>
      <c r="H28" s="46">
        <f>H27+$D$4</f>
        <v>3800</v>
      </c>
      <c r="I28" s="48">
        <f>$D$10-3*$D$8-1*$D$9-$D$5*(H28-$D$11)</f>
        <v>4696.984799999996</v>
      </c>
      <c r="J28" s="54">
        <f>$D$10*(H28-$D$11)-$D$8*(H28-$D$12)-$D$8*(H28-$D$13)-$D$8*(H28-$D$14)-$D$9*(H28-$D$15)-$D$5*(H28-$D$11)^2/2</f>
        <v>248959693.52</v>
      </c>
      <c r="K28" s="43">
        <f>$K$5+($D$10*(H28-$D$11)^2/2-$D$8*(H28-$D$12)^2/2-$D$8*(H28-$D$13)^2/2-$D$8*(H28-$D$14)^2/2-$D$9*(H28-$D$15)^2/2-$D$5*(H28-$D$11)^3/6)/($D$6*$D$7)</f>
        <v>-0.0012745162281042402</v>
      </c>
      <c r="L28" s="67">
        <f>$K$5*H28+($D$10*(H28-$D$11)^3/6-$D$8*(H28-$D$12)^3/6-$D$8*(H28-$D$13)^3/6-$D$8*(H28-$D$14)^3/6-$D$9*(H28-$D$15)^3/6-$D$5*(H28-$D$11)^4/24)/($D$6*$D$7)</f>
        <v>-39.703741044667005</v>
      </c>
      <c r="M28" s="59">
        <f>(L29-2*L28+L27)/($D$4^2)*$D$6*$D$7</f>
        <v>248956410.44000068</v>
      </c>
      <c r="N28" s="99">
        <f t="shared" si="6"/>
        <v>-0.0013187194894517798</v>
      </c>
      <c r="P28" s="80">
        <v>20</v>
      </c>
      <c r="Q28" s="46">
        <f>Q27+$D$4</f>
        <v>3800</v>
      </c>
      <c r="R28" s="48">
        <f>$D$10-3*$D$8-1*$D$9-$D$5*(Q28-$D$11)</f>
        <v>4696.984799999996</v>
      </c>
      <c r="S28" s="54">
        <f>$D$10*(Q28-$D$11)-$D$8*(Q28-$D$12)-$D$8*(Q28-$D$13)-$D$8*(Q28-$D$14)-$D$9*(Q28-$D$15)-$D$5*(Q28-$D$11)^2/2</f>
        <v>248959693.52</v>
      </c>
      <c r="T28" s="43">
        <f>$K$5+($D$10*(Q28-$D$11)^2/2-$D$8*(Q28-$D$12)^2/2-$D$8*(Q28-$D$13)^2/2-$D$8*(Q28-$D$14)^2/2-$D$9*(Q28-$D$15)^2/2-$D$5*(Q28-$D$11)^3/6)/($D$6*$D$7)</f>
        <v>-0.0012745162281042402</v>
      </c>
      <c r="U28" s="67">
        <f>ROUND(($K$5*Q28+($D$10*(Q28-$D$11)^3/6-$D$8*(Q28-$D$12)^3/6-$D$8*(Q28-$D$13)^3/6-$D$8*(Q28-$D$14)^3/6-$D$9*(Q28-$D$15)^3/6-$D$5*(Q28-$D$11)^4/24)/($D$6*$D$7)),2)</f>
        <v>-39.7</v>
      </c>
      <c r="V28" s="59">
        <f>(U29-2*U28+U27)/($D$4^2)*$D$6*$D$7</f>
        <v>244625000.00000694</v>
      </c>
      <c r="W28" s="99">
        <f t="shared" si="7"/>
        <v>-1.7411226125424364</v>
      </c>
      <c r="X28" s="8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7:39" ht="18.75" customHeight="1" thickBot="1">
      <c r="G29" s="81">
        <v>21</v>
      </c>
      <c r="H29" s="47">
        <f>H28+$D$4</f>
        <v>4000</v>
      </c>
      <c r="I29" s="49">
        <f>$D$10-3*$D$8-1*$D$9-$D$5*(H29-$D$11)</f>
        <v>4499.999999999996</v>
      </c>
      <c r="J29" s="55">
        <f>$D$10*(H29-$D$11)-$D$8*(H29-$D$12)-$D$8*(H29-$D$13)-$D$8*(H29-$D$14)-$D$9*(H29-$D$15)-$D$5*(H29-$D$11)^2/2</f>
        <v>249879392</v>
      </c>
      <c r="K29" s="44">
        <f>$K$5+($D$10*(H29-$D$11)^2/2-$D$8*(H29-$D$12)^2/2-$D$8*(H29-$D$13)^2/2-$D$8*(H29-$D$14)^2/2-$D$9*(H29-$D$15)^2/2-$D$5*(H29-$D$11)^3/6)/($D$6*$D$7)</f>
        <v>0</v>
      </c>
      <c r="L29" s="68">
        <f>$K$5*H29+($D$10*(H29-$D$11)^3/6-$D$8*(H29-$D$12)^3/6-$D$8*(H29-$D$13)^3/6-$D$8*(H29-$D$14)^3/6-$D$9*(H29-$D$15)^3/6-$D$5*(H29-$D$11)^4/24)/($D$6*$D$7)</f>
        <v>-39.831270993016524</v>
      </c>
      <c r="M29" s="98">
        <f>(L31-2*L29+L28)/($D$4^2)*$D$6*$D$7</f>
        <v>249576108.92001545</v>
      </c>
      <c r="N29" s="100">
        <f t="shared" si="6"/>
        <v>-0.12137178562710194</v>
      </c>
      <c r="P29" s="81">
        <v>21</v>
      </c>
      <c r="Q29" s="47">
        <f>Q28+$D$4</f>
        <v>4000</v>
      </c>
      <c r="R29" s="49">
        <f>$D$10-3*$D$8-1*$D$9-$D$5*(Q29-$D$11)</f>
        <v>4499.999999999996</v>
      </c>
      <c r="S29" s="55">
        <f>$D$10*(Q29-$D$11)-$D$8*(Q29-$D$12)-$D$8*(Q29-$D$13)-$D$8*(Q29-$D$14)-$D$9*(Q29-$D$15)-$D$5*(Q29-$D$11)^2/2</f>
        <v>249879392</v>
      </c>
      <c r="T29" s="44">
        <f>$K$5+($D$10*(Q29-$D$11)^2/2-$D$8*(Q29-$D$12)^2/2-$D$8*(Q29-$D$13)^2/2-$D$8*(Q29-$D$14)^2/2-$D$9*(Q29-$D$15)^2/2-$D$5*(Q29-$D$11)^3/6)/($D$6*$D$7)</f>
        <v>0</v>
      </c>
      <c r="U29" s="68">
        <f>ROUND(($K$5*Q29+($D$10*(Q29-$D$11)^3/6-$D$8*(Q29-$D$12)^3/6-$D$8*(Q29-$D$13)^3/6-$D$8*(Q29-$D$14)^3/6-$D$9*(Q29-$D$15)^3/6-$D$5*(Q29-$D$11)^4/24)/($D$6*$D$7)),2)</f>
        <v>-39.83</v>
      </c>
      <c r="V29" s="98">
        <f>(U31-2*U29+U28)/($D$4^2)*$D$6*$D$7</f>
        <v>254409999.9999911</v>
      </c>
      <c r="W29" s="100">
        <f t="shared" si="7"/>
        <v>1.8131179060941083</v>
      </c>
      <c r="X29" s="9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7:39" ht="12.75">
      <c r="G30" s="79">
        <v>21</v>
      </c>
      <c r="H30" s="95">
        <f>H29</f>
        <v>4000</v>
      </c>
      <c r="I30" s="50">
        <f>$D$10-4*$D$8-1*$D$9-$D$5*(H30-$D$11)</f>
        <v>-4500.000000000004</v>
      </c>
      <c r="J30" s="53">
        <f>$D$10*(H30-$D$11)-$D$8*(H30-$D$12)-$D$8*(H30-$D$13)-$D$8*(H30-$D$14)-$D$9*(H30-$D$15)-$D$8*(H30-$D$16)-$D$5*(H30-$D$11)^2/2</f>
        <v>249879392</v>
      </c>
      <c r="K30" s="96">
        <f>$K$5+($D$10*(H30-$D$11)^2/2-$D$8*(H30-$D$12)^2/2-$D$8*(H30-$D$13)^2/2-$D$8*(H30-$D$14)^2/2-$D$9*(H30-$D$15)^2/2-$D$8*(H30-$D$16)^2/2-$D$5*(H30-$D$11)^3/6)/($D$6*$D$7)</f>
        <v>0</v>
      </c>
      <c r="L30" s="66">
        <f>$K$5*H30+($D$10*(H30-$D$11)^3/6-$D$8*(H30-$D$12)^3/6-$D$8*(H30-$D$13)^3/6-$D$8*(H30-$D$14)^3/6-$D$9*(H30-$D$15)^3/6-$D$8*(H30-$D$16)^3/6-$D$5*(H30-$D$11)^4/24)/($D$6*$D$7)</f>
        <v>-39.831270993016524</v>
      </c>
      <c r="M30" s="97">
        <f>(L31-2*L30+L28)/($D$4^2)*$D$6*$D$7</f>
        <v>249576108.92001545</v>
      </c>
      <c r="N30" s="101">
        <f t="shared" si="6"/>
        <v>-0.12137178562710194</v>
      </c>
      <c r="P30" s="79">
        <v>21</v>
      </c>
      <c r="Q30" s="95">
        <f>Q29</f>
        <v>4000</v>
      </c>
      <c r="R30" s="50">
        <f>$D$10-4*$D$8-1*$D$9-$D$5*(Q30-$D$11)</f>
        <v>-4500.000000000004</v>
      </c>
      <c r="S30" s="53">
        <f>$D$10*(Q30-$D$11)-$D$8*(Q30-$D$12)-$D$8*(Q30-$D$13)-$D$8*(Q30-$D$14)-$D$9*(Q30-$D$15)-$D$8*(Q30-$D$16)-$D$5*(Q30-$D$11)^2/2</f>
        <v>249879392</v>
      </c>
      <c r="T30" s="96">
        <f>$K$5+($D$10*(Q30-$D$11)^2/2-$D$8*(Q30-$D$12)^2/2-$D$8*(Q30-$D$13)^2/2-$D$8*(Q30-$D$14)^2/2-$D$9*(Q30-$D$15)^2/2-$D$8*(Q30-$D$16)^2/2-$D$5*(Q30-$D$11)^3/6)/($D$6*$D$7)</f>
        <v>0</v>
      </c>
      <c r="U30" s="66">
        <f>ROUND(($K$5*Q30+($D$10*(Q30-$D$11)^3/6-$D$8*(Q30-$D$12)^3/6-$D$8*(Q30-$D$13)^3/6-$D$8*(Q30-$D$14)^3/6-$D$9*(Q30-$D$15)^3/6-$D$8*(Q30-$D$16)^3/6-$D$5*(Q30-$D$11)^4/24)/($D$6*$D$7)),2)</f>
        <v>-39.83</v>
      </c>
      <c r="V30" s="97">
        <f>(U31-2*U30+U28)/($D$4^2)*$D$6*$D$7</f>
        <v>254409999.9999911</v>
      </c>
      <c r="W30" s="101">
        <f t="shared" si="7"/>
        <v>1.8131179060941083</v>
      </c>
      <c r="X30" s="9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7:39" ht="12.75">
      <c r="G31" s="80">
        <v>22</v>
      </c>
      <c r="H31" s="46">
        <f>H30+$D$4</f>
        <v>4200</v>
      </c>
      <c r="I31" s="48">
        <f>$D$10-4*$D$8-1*$D$9-$D$5*(H31-$D$11)</f>
        <v>-4696.984800000005</v>
      </c>
      <c r="J31" s="54">
        <f>$D$10*(H31-$D$11)-$D$8*(H31-$D$12)-$D$8*(H31-$D$13)-$D$8*(H31-$D$14)-$D$9*(H31-$D$15)-$D$8*(H31-$D$16)-$D$5*(H31-$D$11)^2/2</f>
        <v>248959693.51999998</v>
      </c>
      <c r="K31" s="43">
        <f>$K$5+($D$10*(H31-$D$11)^2/2-$D$8*(H31-$D$12)^2/2-$D$8*(H31-$D$13)^2/2-$D$8*(H31-$D$14)^2/2-$D$9*(H31-$D$15)^2/2-$D$8*(H31-$D$16)^2/2-$D$5*(H31-$D$11)^3/6)/($D$6*$D$7)</f>
        <v>0.001274516228104242</v>
      </c>
      <c r="L31" s="67">
        <f>$K$5*H31+($D$10*(H31-$D$11)^3/6-$D$8*(H31-$D$12)^3/6-$D$8*(H31-$D$13)^3/6-$D$8*(H31-$D$14)^3/6-$D$9*(H31-$D$15)^3/6-$D$8*(H31-$D$16)^3/6-$D$5*(H31-$D$11)^4/24)/($D$6*$D$7)</f>
        <v>-39.703741044667</v>
      </c>
      <c r="M31" s="59">
        <f>(L32-2*L31+L30)/($D$4^2)*$D$6*$D$7</f>
        <v>248956410.43998677</v>
      </c>
      <c r="N31" s="99">
        <f t="shared" si="6"/>
        <v>-0.0013187194950301457</v>
      </c>
      <c r="P31" s="80">
        <v>22</v>
      </c>
      <c r="Q31" s="46">
        <f>Q30+$D$4</f>
        <v>4200</v>
      </c>
      <c r="R31" s="48">
        <f>$D$10-4*$D$8-1*$D$9-$D$5*(Q31-$D$11)</f>
        <v>-4696.984800000005</v>
      </c>
      <c r="S31" s="54">
        <f>$D$10*(Q31-$D$11)-$D$8*(Q31-$D$12)-$D$8*(Q31-$D$13)-$D$8*(Q31-$D$14)-$D$9*(Q31-$D$15)-$D$8*(Q31-$D$16)-$D$5*(Q31-$D$11)^2/2</f>
        <v>248959693.51999998</v>
      </c>
      <c r="T31" s="43">
        <f>$K$5+($D$10*(Q31-$D$11)^2/2-$D$8*(Q31-$D$12)^2/2-$D$8*(Q31-$D$13)^2/2-$D$8*(Q31-$D$14)^2/2-$D$9*(Q31-$D$15)^2/2-$D$8*(Q31-$D$16)^2/2-$D$5*(Q31-$D$11)^3/6)/($D$6*$D$7)</f>
        <v>0.001274516228104242</v>
      </c>
      <c r="U31" s="67">
        <f>ROUND(($K$5*Q31+($D$10*(Q31-$D$11)^3/6-$D$8*(Q31-$D$12)^3/6-$D$8*(Q31-$D$13)^3/6-$D$8*(Q31-$D$14)^3/6-$D$9*(Q31-$D$15)^3/6-$D$8*(Q31-$D$16)^3/6-$D$5*(Q31-$D$11)^4/24)/($D$6*$D$7)),2)</f>
        <v>-39.7</v>
      </c>
      <c r="V31" s="59">
        <f>(U32-2*U31+U30)/($D$4^2)*$D$6*$D$7</f>
        <v>244625000.00000694</v>
      </c>
      <c r="W31" s="99">
        <f t="shared" si="7"/>
        <v>-1.7411226125424246</v>
      </c>
      <c r="X31" s="9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7:39" ht="12.75">
      <c r="G32" s="80">
        <v>23</v>
      </c>
      <c r="H32" s="46">
        <f>H31+$D$4</f>
        <v>4400</v>
      </c>
      <c r="I32" s="48">
        <f>$D$10-4*$D$8-1*$D$9-$D$5*(H32-$D$11)</f>
        <v>-4893.969600000004</v>
      </c>
      <c r="J32" s="54">
        <f>$D$10*(H32-$D$11)-$D$8*(H32-$D$12)-$D$8*(H32-$D$13)-$D$8*(H32-$D$14)-$D$9*(H32-$D$15)-$D$8*(H32-$D$16)-$D$5*(H32-$D$11)^2/2</f>
        <v>248000598.07999998</v>
      </c>
      <c r="K32" s="43">
        <f>$K$5+($D$10*(H32-$D$11)^2/2-$D$8*(H32-$D$12)^2/2-$D$8*(H32-$D$13)^2/2-$D$8*(H32-$D$14)^2/2-$D$9*(H32-$D$15)^2/2-$D$8*(H32-$D$16)^2/2-$D$5*(H32-$D$11)^3/6)/($D$6*$D$7)</f>
        <v>0.0025442322673479827</v>
      </c>
      <c r="L32" s="67">
        <f>$K$5*H32+($D$10*(H32-$D$11)^3/6-$D$8*(H32-$D$12)^3/6-$D$8*(H32-$D$13)^3/6-$D$8*(H32-$D$14)^3/6-$D$9*(H32-$D$15)^3/6-$D$8*(H32-$D$16)^3/6-$D$5*(H32-$D$11)^4/24)/($D$6*$D$7)</f>
        <v>-39.32178451436552</v>
      </c>
      <c r="M32" s="59">
        <f>(L33-2*L32+L31)/($D$4^2)*$D$6*$D$7</f>
        <v>247997315.00000238</v>
      </c>
      <c r="N32" s="99">
        <f t="shared" si="6"/>
        <v>-0.0013238193871371508</v>
      </c>
      <c r="P32" s="80">
        <v>23</v>
      </c>
      <c r="Q32" s="46">
        <f>Q31+$D$4</f>
        <v>4400</v>
      </c>
      <c r="R32" s="48">
        <f>$D$10-4*$D$8-1*$D$9-$D$5*(Q32-$D$11)</f>
        <v>-4893.969600000004</v>
      </c>
      <c r="S32" s="54">
        <f>$D$10*(Q32-$D$11)-$D$8*(Q32-$D$12)-$D$8*(Q32-$D$13)-$D$8*(Q32-$D$14)-$D$9*(Q32-$D$15)-$D$8*(Q32-$D$16)-$D$5*(Q32-$D$11)^2/2</f>
        <v>248000598.07999998</v>
      </c>
      <c r="T32" s="43">
        <f>$K$5+($D$10*(Q32-$D$11)^2/2-$D$8*(Q32-$D$12)^2/2-$D$8*(Q32-$D$13)^2/2-$D$8*(Q32-$D$14)^2/2-$D$9*(Q32-$D$15)^2/2-$D$8*(Q32-$D$16)^2/2-$D$5*(Q32-$D$11)^3/6)/($D$6*$D$7)</f>
        <v>0.0025442322673479827</v>
      </c>
      <c r="U32" s="67">
        <f>ROUND(($K$5*Q32+($D$10*(Q32-$D$11)^3/6-$D$8*(Q32-$D$12)^3/6-$D$8*(Q32-$D$13)^3/6-$D$8*(Q32-$D$14)^3/6-$D$9*(Q32-$D$15)^3/6-$D$8*(Q32-$D$16)^3/6-$D$5*(Q32-$D$11)^4/24)/($D$6*$D$7)),2)</f>
        <v>-39.32</v>
      </c>
      <c r="V32" s="59">
        <f>(U33-2*U32+U31)/($D$4^2)*$D$6*$D$7</f>
        <v>244625000.00000003</v>
      </c>
      <c r="W32" s="99">
        <f t="shared" si="7"/>
        <v>-1.3611249755579435</v>
      </c>
      <c r="X32" s="9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7:39" ht="13.5" thickBot="1">
      <c r="G33" s="81">
        <v>24</v>
      </c>
      <c r="H33" s="47">
        <f>H32+$D$4</f>
        <v>4600</v>
      </c>
      <c r="I33" s="49">
        <f>$D$10-4*$D$8-1*$D$9-$D$5*(H33-$D$11)</f>
        <v>-5090.954400000004</v>
      </c>
      <c r="J33" s="55">
        <f>$D$10*(H33-$D$11)-$D$8*(H33-$D$12)-$D$8*(H33-$D$13)-$D$8*(H33-$D$14)-$D$9*(H33-$D$15)-$D$8*(H33-$D$16)-$D$5*(H33-$D$11)^2/2</f>
        <v>247002105.67999995</v>
      </c>
      <c r="K33" s="44">
        <f>$K$5+($D$10*(H33-$D$11)^2/2-$D$8*(H33-$D$12)^2/2-$D$8*(H33-$D$13)^2/2-$D$8*(H33-$D$14)^2/2-$D$9*(H33-$D$15)^2/2-$D$8*(H33-$D$16)^2/2-$D$5*(H33-$D$11)^3/6)/($D$6*$D$7)</f>
        <v>0.003808946804701072</v>
      </c>
      <c r="L33" s="68">
        <f>$K$5*H33+($D$10*(H33-$D$11)^3/6-$D$8*(H33-$D$12)^3/6-$D$8*(H33-$D$13)^3/6-$D$8*(H33-$D$14)^3/6-$D$9*(H33-$D$15)^3/6-$D$8*(H33-$D$16)^3/6-$D$5*(H33-$D$11)^4/24)/($D$6*$D$7)</f>
        <v>-38.686381571187184</v>
      </c>
      <c r="M33" s="98">
        <f>(L35-2*L33+L32)/($D$4^2)*$D$6*$D$7</f>
        <v>245332155.9333246</v>
      </c>
      <c r="N33" s="100">
        <f t="shared" si="6"/>
        <v>-0.6760872511908145</v>
      </c>
      <c r="P33" s="81">
        <v>24</v>
      </c>
      <c r="Q33" s="47">
        <f>Q32+$D$4</f>
        <v>4600</v>
      </c>
      <c r="R33" s="49">
        <f>$D$10-4*$D$8-1*$D$9-$D$5*(Q33-$D$11)</f>
        <v>-5090.954400000004</v>
      </c>
      <c r="S33" s="55">
        <f>$D$10*(Q33-$D$11)-$D$8*(Q33-$D$12)-$D$8*(Q33-$D$13)-$D$8*(Q33-$D$14)-$D$9*(Q33-$D$15)-$D$8*(Q33-$D$16)-$D$5*(Q33-$D$11)^2/2</f>
        <v>247002105.67999995</v>
      </c>
      <c r="T33" s="44">
        <f>$K$5+($D$10*(Q33-$D$11)^2/2-$D$8*(Q33-$D$12)^2/2-$D$8*(Q33-$D$13)^2/2-$D$8*(Q33-$D$14)^2/2-$D$9*(Q33-$D$15)^2/2-$D$8*(Q33-$D$16)^2/2-$D$5*(Q33-$D$11)^3/6)/($D$6*$D$7)</f>
        <v>0.003808946804701072</v>
      </c>
      <c r="U33" s="68">
        <f>ROUND(($K$5*Q33+($D$10*(Q33-$D$11)^3/6-$D$8*(Q33-$D$12)^3/6-$D$8*(Q33-$D$13)^3/6-$D$8*(Q33-$D$14)^3/6-$D$9*(Q33-$D$15)^3/6-$D$8*(Q33-$D$16)^3/6-$D$5*(Q33-$D$11)^4/24)/($D$6*$D$7)),2)</f>
        <v>-38.69</v>
      </c>
      <c r="V33" s="98">
        <f>(U35-2*U33+U32)/($D$4^2)*$D$6*$D$7</f>
        <v>254409999.99999806</v>
      </c>
      <c r="W33" s="100">
        <f t="shared" si="7"/>
        <v>2.9991219303997783</v>
      </c>
      <c r="X33" s="9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7:39" ht="12.75">
      <c r="G34" s="79">
        <v>24</v>
      </c>
      <c r="H34" s="95">
        <f>H33</f>
        <v>4600</v>
      </c>
      <c r="I34" s="50">
        <f>$D$10-4*$D$8-2*$D$9-$D$5*(H34-$D$11)</f>
        <v>-55090.9544</v>
      </c>
      <c r="J34" s="53">
        <f>$D$10*(H34-$D$11)-$D$8*(H34-$D$12)-$D$8*(H34-$D$13)-$D$8*(H34-$D$14)-$D$9*(H34-$D$15)-$D$8*(H34-$D$16)-$D$9*(H34-$D$17)-$D$5*(H34-$D$11)^2/2</f>
        <v>247002105.67999995</v>
      </c>
      <c r="K34" s="96">
        <f>$K$5+($D$10*(H34-$D$11)^2/2-$D$8*(H34-$D$12)^2/2-$D$8*(H34-$D$13)^2/2-$D$8*(H34-$D$14)^2/2-$D$9*(H34-$D$15)^2/2-$D$8*(H34-$D$16)^2/2-$D$9*(H34-$D$17)^2/2-$D$5*(H34-$D$11)^3/6)/($D$6*$D$7)</f>
        <v>0.003808946804701072</v>
      </c>
      <c r="L34" s="66">
        <f>$K$5*H34+($D$10*(H34-$D$11)^3/6-$D$8*(H34-$D$12)^3/6-$D$8*(H34-$D$13)^3/6-$D$8*(H34-$D$14)^3/6-$D$9*(H34-$D$15)^3/6-$D$8*(H34-$D$16)^3/6-$D$9*(H34-$D$17)^3/6-$D$5*(H34-$D$11)^4/24)/($D$6*$D$7)</f>
        <v>-38.686381571187184</v>
      </c>
      <c r="M34" s="97">
        <f>(L35-2*L34+L32)/($D$4^2)*$D$6*$D$7</f>
        <v>245332155.9333246</v>
      </c>
      <c r="N34" s="101">
        <f t="shared" si="6"/>
        <v>-0.6760872511908145</v>
      </c>
      <c r="P34" s="79">
        <v>24</v>
      </c>
      <c r="Q34" s="95">
        <f>Q33</f>
        <v>4600</v>
      </c>
      <c r="R34" s="50">
        <f>$D$10-4*$D$8-2*$D$9-$D$5*(Q34-$D$11)</f>
        <v>-55090.9544</v>
      </c>
      <c r="S34" s="53">
        <f>$D$10*(Q34-$D$11)-$D$8*(Q34-$D$12)-$D$8*(Q34-$D$13)-$D$8*(Q34-$D$14)-$D$9*(Q34-$D$15)-$D$8*(Q34-$D$16)-$D$9*(Q34-$D$17)-$D$5*(Q34-$D$11)^2/2</f>
        <v>247002105.67999995</v>
      </c>
      <c r="T34" s="96">
        <f>$K$5+($D$10*(Q34-$D$11)^2/2-$D$8*(Q34-$D$12)^2/2-$D$8*(Q34-$D$13)^2/2-$D$8*(Q34-$D$14)^2/2-$D$9*(Q34-$D$15)^2/2-$D$8*(Q34-$D$16)^2/2-$D$9*(Q34-$D$17)^2/2-$D$5*(Q34-$D$11)^3/6)/($D$6*$D$7)</f>
        <v>0.003808946804701072</v>
      </c>
      <c r="U34" s="66">
        <f>ROUND(($K$5*Q34+($D$10*(Q34-$D$11)^3/6-$D$8*(Q34-$D$12)^3/6-$D$8*(Q34-$D$13)^3/6-$D$8*(Q34-$D$14)^3/6-$D$9*(Q34-$D$15)^3/6-$D$8*(Q34-$D$16)^3/6-$D$9*(Q34-$D$17)^3/6-$D$5*(Q34-$D$11)^4/24)/($D$6*$D$7)),2)</f>
        <v>-38.69</v>
      </c>
      <c r="V34" s="97">
        <f>(U35-2*U34+U32)/($D$4^2)*$D$6*$D$7</f>
        <v>254409999.99999806</v>
      </c>
      <c r="W34" s="101">
        <f t="shared" si="7"/>
        <v>2.9991219303997783</v>
      </c>
      <c r="X34" s="9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7:39" ht="12.75">
      <c r="G35" s="80">
        <v>25</v>
      </c>
      <c r="H35" s="46">
        <f>H34+$D$4</f>
        <v>4800</v>
      </c>
      <c r="I35" s="48">
        <f>$D$10-4*$D$8-2*$D$9-$D$5*(H35-$D$11)</f>
        <v>-55287.93920000001</v>
      </c>
      <c r="J35" s="54">
        <f>$D$10*(H35-$D$11)-$D$8*(H35-$D$12)-$D$8*(H35-$D$13)-$D$8*(H35-$D$14)-$D$9*(H35-$D$15)-$D$8*(H35-$D$16)-$D$9*(H35-$D$17)-$D$5*(H35-$D$11)^2/2</f>
        <v>235964216.31999996</v>
      </c>
      <c r="K35" s="43">
        <f>$K$5+($D$10*(H35-$D$11)^2/2-$D$8*(H35-$D$12)^2/2-$D$8*(H35-$D$13)^2/2-$D$8*(H35-$D$14)^2/2-$D$9*(H35-$D$15)^2/2-$D$8*(H35-$D$16)^2/2-$D$9*(H35-$D$17)^2/2-$D$5*(H35-$D$11)^3/6)/($D$6*$D$7)</f>
        <v>0.005042909216964741</v>
      </c>
      <c r="L35" s="67">
        <f>$K$5*H35+($D$10*(H35-$D$11)^3/6-$D$8*(H35-$D$12)^3/6-$D$8*(H35-$D$13)^3/6-$D$8*(H35-$D$14)^3/6-$D$9*(H35-$D$15)^3/6-$D$8*(H35-$D$16)^3/6-$D$9*(H35-$D$17)^3/6-$D$5*(H35-$D$11)^4/24)/($D$6*$D$7)</f>
        <v>-37.800255934157725</v>
      </c>
      <c r="M35" s="59">
        <f>(L36-2*L35+L34)/($D$4^2)*$D$6*$D$7</f>
        <v>235960933.24002102</v>
      </c>
      <c r="N35" s="99">
        <f t="shared" si="6"/>
        <v>-0.0013913465482794064</v>
      </c>
      <c r="P35" s="80">
        <v>25</v>
      </c>
      <c r="Q35" s="46">
        <f>Q34+$D$4</f>
        <v>4800</v>
      </c>
      <c r="R35" s="48">
        <f>$D$10-4*$D$8-2*$D$9-$D$5*(Q35-$D$11)</f>
        <v>-55287.93920000001</v>
      </c>
      <c r="S35" s="54">
        <f>$D$10*(Q35-$D$11)-$D$8*(Q35-$D$12)-$D$8*(Q35-$D$13)-$D$8*(Q35-$D$14)-$D$9*(Q35-$D$15)-$D$8*(Q35-$D$16)-$D$9*(Q35-$D$17)-$D$5*(Q35-$D$11)^2/2</f>
        <v>235964216.31999996</v>
      </c>
      <c r="T35" s="43">
        <f>$K$5+($D$10*(Q35-$D$11)^2/2-$D$8*(Q35-$D$12)^2/2-$D$8*(Q35-$D$13)^2/2-$D$8*(Q35-$D$14)^2/2-$D$9*(Q35-$D$15)^2/2-$D$8*(Q35-$D$16)^2/2-$D$9*(Q35-$D$17)^2/2-$D$5*(Q35-$D$11)^3/6)/($D$6*$D$7)</f>
        <v>0.005042909216964741</v>
      </c>
      <c r="U35" s="67">
        <f>ROUND(($K$5*Q35+($D$10*(Q35-$D$11)^3/6-$D$8*(Q35-$D$12)^3/6-$D$8*(Q35-$D$13)^3/6-$D$8*(Q35-$D$14)^3/6-$D$9*(Q35-$D$15)^3/6-$D$8*(Q35-$D$16)^3/6-$D$9*(Q35-$D$17)^3/6-$D$5*(Q35-$D$11)^4/24)/($D$6*$D$7)),2)</f>
        <v>-37.8</v>
      </c>
      <c r="V35" s="59">
        <f>(U36-2*U35+U34)/($D$4^2)*$D$6*$D$7</f>
        <v>234839999.99999502</v>
      </c>
      <c r="W35" s="99">
        <f t="shared" si="7"/>
        <v>-0.47643508729321393</v>
      </c>
      <c r="X35" s="9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7:39" ht="13.5" thickBot="1">
      <c r="G36" s="81">
        <v>26</v>
      </c>
      <c r="H36" s="47">
        <f>H35+$D$4</f>
        <v>5000</v>
      </c>
      <c r="I36" s="49">
        <f>$D$10-4*$D$8-2*$D$9-$D$5*(H36-$D$11)</f>
        <v>-55484.924000000006</v>
      </c>
      <c r="J36" s="55">
        <f>$D$10*(H36-$D$11)-$D$8*(H36-$D$12)-$D$8*(H36-$D$13)-$D$8*(H36-$D$14)-$D$9*(H36-$D$15)-$D$8*(H36-$D$16)-$D$9*(H36-$D$17)-$D$5*(H36-$D$11)^2/2</f>
        <v>224886930</v>
      </c>
      <c r="K36" s="44">
        <f>$K$5+($D$10*(H36-$D$11)^2/2-$D$8*(H36-$D$12)^2/2-$D$8*(H36-$D$13)^2/2-$D$8*(H36-$D$14)^2/2-$D$9*(H36-$D$15)^2/2-$D$8*(H36-$D$16)^2/2-$D$9*(H36-$D$17)^2/2-$D$5*(H36-$D$11)^3/6)/($D$6*$D$7)</f>
        <v>0.006220368880940215</v>
      </c>
      <c r="L36" s="68">
        <f>$K$5*H36+($D$10*(H36-$D$11)^3/6-$D$8*(H36-$D$12)^3/6-$D$8*(H36-$D$13)^3/6-$D$8*(H36-$D$14)^3/6-$D$9*(H36-$D$15)^3/6-$D$8*(H36-$D$16)^3/6-$D$9*(H36-$D$17)^3/6-$D$5*(H36-$D$11)^4/24)/($D$6*$D$7)</f>
        <v>-36.67298473428716</v>
      </c>
      <c r="M36" s="98">
        <f>(L38-2*L36+L35)/($D$4^2)*$D$6*$D$7</f>
        <v>224583646.91998318</v>
      </c>
      <c r="N36" s="100">
        <f t="shared" si="6"/>
        <v>-0.13486025177933714</v>
      </c>
      <c r="P36" s="81">
        <v>26</v>
      </c>
      <c r="Q36" s="47">
        <f>Q35+$D$4</f>
        <v>5000</v>
      </c>
      <c r="R36" s="49">
        <f>$D$10-4*$D$8-2*$D$9-$D$5*(Q36-$D$11)</f>
        <v>-55484.924000000006</v>
      </c>
      <c r="S36" s="55">
        <f>$D$10*(Q36-$D$11)-$D$8*(Q36-$D$12)-$D$8*(Q36-$D$13)-$D$8*(Q36-$D$14)-$D$9*(Q36-$D$15)-$D$8*(Q36-$D$16)-$D$9*(Q36-$D$17)-$D$5*(Q36-$D$11)^2/2</f>
        <v>224886930</v>
      </c>
      <c r="T36" s="44">
        <f>$K$5+($D$10*(Q36-$D$11)^2/2-$D$8*(Q36-$D$12)^2/2-$D$8*(Q36-$D$13)^2/2-$D$8*(Q36-$D$14)^2/2-$D$9*(Q36-$D$15)^2/2-$D$8*(Q36-$D$16)^2/2-$D$9*(Q36-$D$17)^2/2-$D$5*(Q36-$D$11)^3/6)/($D$6*$D$7)</f>
        <v>0.006220368880940215</v>
      </c>
      <c r="U36" s="68">
        <f>ROUND(($K$5*Q36+($D$10*(Q36-$D$11)^3/6-$D$8*(Q36-$D$12)^3/6-$D$8*(Q36-$D$13)^3/6-$D$8*(Q36-$D$14)^3/6-$D$9*(Q36-$D$15)^3/6-$D$8*(Q36-$D$16)^3/6-$D$9*(Q36-$D$17)^3/6-$D$5*(Q36-$D$11)^4/24)/($D$6*$D$7)),2)</f>
        <v>-36.67</v>
      </c>
      <c r="V36" s="98">
        <f>(U38-2*U36+U35)/($D$4^2)*$D$6*$D$7</f>
        <v>215270000.0000058</v>
      </c>
      <c r="W36" s="100">
        <f t="shared" si="7"/>
        <v>-4.276340114560766</v>
      </c>
      <c r="X36" s="9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7:39" ht="12.75">
      <c r="G37" s="79">
        <v>26</v>
      </c>
      <c r="H37" s="95">
        <f>H36</f>
        <v>5000</v>
      </c>
      <c r="I37" s="50">
        <f aca="true" t="shared" si="24" ref="I37:I42">$D$10-5*$D$8-2*$D$9-$D$5*(H37-$D$11)</f>
        <v>-64484.924000000006</v>
      </c>
      <c r="J37" s="53">
        <f aca="true" t="shared" si="25" ref="J37:J42">$D$10*(H37-$D$11)-$D$8*(H37-$D$12)-$D$8*(H37-$D$13)-$D$8*(H37-$D$14)-$D$9*(H37-$D$15)-$D$8*(H37-$D$16)-$D$9*(H37-$D$17)-$D$8*(H37-$D$18)-$D$5*(H37-$D$11)^2/2</f>
        <v>224886930</v>
      </c>
      <c r="K37" s="96">
        <f aca="true" t="shared" si="26" ref="K37:K42">$K$5+($D$10*(H37-$D$11)^2/2-$D$8*(H37-$D$12)^2/2-$D$8*(H37-$D$13)^2/2-$D$8*(H37-$D$14)^2/2-$D$9*(H37-$D$15)^2/2-$D$8*(H37-$D$16)^2/2-$D$9*(H37-$D$17)^2/2-$D$8*(H37-$D$18)^2/2-$D$5*(H37-$D$11)^3/6)/($D$6*$D$7)</f>
        <v>0.006220368880940215</v>
      </c>
      <c r="L37" s="66">
        <f aca="true" t="shared" si="27" ref="L37:L42">$K$5*H37+($D$10*(H37-$D$11)^3/6-$D$8*(H37-$D$12)^3/6-$D$8*(H37-$D$13)^3/6-$D$8*(H37-$D$14)^3/6-$D$9*(H37-$D$15)^3/6-$D$8*(H37-$D$16)^3/6-$D$9*(H37-$D$17)^3/6-$D$8*(H37-$D$18)^3/6-$D$5*(H37-$D$11)^4/24)/($D$6*$D$7)</f>
        <v>-36.67298473428716</v>
      </c>
      <c r="M37" s="97">
        <f>(L38-2*L37+L35)/($D$4^2)*$D$6*$D$7</f>
        <v>224583646.91998318</v>
      </c>
      <c r="N37" s="101">
        <f t="shared" si="6"/>
        <v>-0.13486025177933714</v>
      </c>
      <c r="P37" s="79">
        <v>26</v>
      </c>
      <c r="Q37" s="95">
        <f>Q36</f>
        <v>5000</v>
      </c>
      <c r="R37" s="50">
        <f aca="true" t="shared" si="28" ref="R37:R42">$D$10-5*$D$8-2*$D$9-$D$5*(Q37-$D$11)</f>
        <v>-64484.924000000006</v>
      </c>
      <c r="S37" s="53">
        <f aca="true" t="shared" si="29" ref="S37:S42">$D$10*(Q37-$D$11)-$D$8*(Q37-$D$12)-$D$8*(Q37-$D$13)-$D$8*(Q37-$D$14)-$D$9*(Q37-$D$15)-$D$8*(Q37-$D$16)-$D$9*(Q37-$D$17)-$D$8*(Q37-$D$18)-$D$5*(Q37-$D$11)^2/2</f>
        <v>224886930</v>
      </c>
      <c r="T37" s="96">
        <f aca="true" t="shared" si="30" ref="T37:T42">$K$5+($D$10*(Q37-$D$11)^2/2-$D$8*(Q37-$D$12)^2/2-$D$8*(Q37-$D$13)^2/2-$D$8*(Q37-$D$14)^2/2-$D$9*(Q37-$D$15)^2/2-$D$8*(Q37-$D$16)^2/2-$D$9*(Q37-$D$17)^2/2-$D$8*(Q37-$D$18)^2/2-$D$5*(Q37-$D$11)^3/6)/($D$6*$D$7)</f>
        <v>0.006220368880940215</v>
      </c>
      <c r="U37" s="66">
        <f aca="true" t="shared" si="31" ref="U37:U42">ROUND(($K$5*Q37+($D$10*(Q37-$D$11)^3/6-$D$8*(Q37-$D$12)^3/6-$D$8*(Q37-$D$13)^3/6-$D$8*(Q37-$D$14)^3/6-$D$9*(Q37-$D$15)^3/6-$D$8*(Q37-$D$16)^3/6-$D$9*(Q37-$D$17)^3/6-$D$8*(Q37-$D$18)^3/6-$D$5*(Q37-$D$11)^4/24)/($D$6*$D$7)),2)</f>
        <v>-36.67</v>
      </c>
      <c r="V37" s="97">
        <f>(U38-2*U37+U35)/($D$4^2)*$D$6*$D$7</f>
        <v>215270000.0000058</v>
      </c>
      <c r="W37" s="101">
        <f t="shared" si="7"/>
        <v>-4.276340114560766</v>
      </c>
      <c r="X37" s="9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7:39" ht="12.75">
      <c r="G38" s="80">
        <v>27</v>
      </c>
      <c r="H38" s="46">
        <f>H37+$D$4</f>
        <v>5200</v>
      </c>
      <c r="I38" s="48">
        <f t="shared" si="24"/>
        <v>-64681.908800000005</v>
      </c>
      <c r="J38" s="54">
        <f t="shared" si="25"/>
        <v>211970246.72</v>
      </c>
      <c r="K38" s="43">
        <f t="shared" si="26"/>
        <v>0.007336525607766991</v>
      </c>
      <c r="L38" s="67">
        <f t="shared" si="27"/>
        <v>-35.31619524425821</v>
      </c>
      <c r="M38" s="59">
        <f>(L39-2*L38+L37)/($D$4^2)*$D$6*$D$7</f>
        <v>211966963.63999918</v>
      </c>
      <c r="N38" s="99">
        <f t="shared" si="6"/>
        <v>-0.0015488400148698832</v>
      </c>
      <c r="P38" s="80">
        <v>27</v>
      </c>
      <c r="Q38" s="46">
        <f>Q37+$D$4</f>
        <v>5200</v>
      </c>
      <c r="R38" s="48">
        <f t="shared" si="28"/>
        <v>-64681.908800000005</v>
      </c>
      <c r="S38" s="54">
        <f t="shared" si="29"/>
        <v>211970246.72</v>
      </c>
      <c r="T38" s="43">
        <f t="shared" si="30"/>
        <v>0.007336525607766991</v>
      </c>
      <c r="U38" s="67">
        <f t="shared" si="31"/>
        <v>-35.32</v>
      </c>
      <c r="V38" s="59">
        <f>(U39-2*U38+U37)/($D$4^2)*$D$6*$D$7</f>
        <v>225054999.99999693</v>
      </c>
      <c r="W38" s="99">
        <f t="shared" si="7"/>
        <v>6.172919776463301</v>
      </c>
      <c r="X38" s="9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7:39" ht="12.75">
      <c r="G39" s="80">
        <v>28</v>
      </c>
      <c r="H39" s="46">
        <f>H38+$D$4</f>
        <v>5400</v>
      </c>
      <c r="I39" s="48">
        <f t="shared" si="24"/>
        <v>-64878.8936</v>
      </c>
      <c r="J39" s="54">
        <f t="shared" si="25"/>
        <v>199014166.47999996</v>
      </c>
      <c r="K39" s="43">
        <f t="shared" si="26"/>
        <v>0.00838657920858457</v>
      </c>
      <c r="L39" s="67">
        <f t="shared" si="27"/>
        <v>-33.742781366247655</v>
      </c>
      <c r="M39" s="59">
        <f>(L40-2*L39+L38)/($D$4^2)*$D$6*$D$7</f>
        <v>199010883.40001082</v>
      </c>
      <c r="N39" s="99">
        <f t="shared" si="6"/>
        <v>-0.0016496715018853698</v>
      </c>
      <c r="P39" s="80">
        <v>28</v>
      </c>
      <c r="Q39" s="46">
        <f>Q38+$D$4</f>
        <v>5400</v>
      </c>
      <c r="R39" s="48">
        <f t="shared" si="28"/>
        <v>-64878.8936</v>
      </c>
      <c r="S39" s="54">
        <f t="shared" si="29"/>
        <v>199014166.47999996</v>
      </c>
      <c r="T39" s="43">
        <f t="shared" si="30"/>
        <v>0.00838657920858457</v>
      </c>
      <c r="U39" s="67">
        <f t="shared" si="31"/>
        <v>-33.74</v>
      </c>
      <c r="V39" s="59">
        <f>(U40-2*U39+U38)/($D$4^2)*$D$6*$D$7</f>
        <v>185915000.0000047</v>
      </c>
      <c r="W39" s="99">
        <f t="shared" si="7"/>
        <v>-6.5820271549923355</v>
      </c>
      <c r="X39" s="9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7:39" ht="12.75">
      <c r="G40" s="80">
        <v>29</v>
      </c>
      <c r="H40" s="46">
        <f>H39+$D$4</f>
        <v>5600</v>
      </c>
      <c r="I40" s="48">
        <f t="shared" si="24"/>
        <v>-65075.8784</v>
      </c>
      <c r="J40" s="54">
        <f t="shared" si="25"/>
        <v>186018689.27999997</v>
      </c>
      <c r="K40" s="43">
        <f t="shared" si="26"/>
        <v>0.009370328370362802</v>
      </c>
      <c r="L40" s="67">
        <f t="shared" si="27"/>
        <v>-31.96598385676034</v>
      </c>
      <c r="M40" s="59">
        <f>(L41-2*L40+L39)/($D$4^2)*$D$6*$D$7</f>
        <v>186015406.1999964</v>
      </c>
      <c r="N40" s="99">
        <f t="shared" si="6"/>
        <v>-0.0017649194370022762</v>
      </c>
      <c r="P40" s="80">
        <v>29</v>
      </c>
      <c r="Q40" s="46">
        <f>Q39+$D$4</f>
        <v>5600</v>
      </c>
      <c r="R40" s="48">
        <f t="shared" si="28"/>
        <v>-65075.8784</v>
      </c>
      <c r="S40" s="54">
        <f t="shared" si="29"/>
        <v>186018689.27999997</v>
      </c>
      <c r="T40" s="43">
        <f t="shared" si="30"/>
        <v>0.009370328370362802</v>
      </c>
      <c r="U40" s="67">
        <f t="shared" si="31"/>
        <v>-31.97</v>
      </c>
      <c r="V40" s="59">
        <f>(U41-2*U40+U39)/($D$4^2)*$D$6*$D$7</f>
        <v>195699999.99999583</v>
      </c>
      <c r="W40" s="99">
        <f t="shared" si="7"/>
        <v>5.2044828170051805</v>
      </c>
      <c r="X40" s="9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7:39" ht="12.75">
      <c r="G41" s="80">
        <v>30</v>
      </c>
      <c r="H41" s="46">
        <f>H40+$D$4</f>
        <v>5800</v>
      </c>
      <c r="I41" s="48">
        <f t="shared" si="24"/>
        <v>-65272.86320000001</v>
      </c>
      <c r="J41" s="54">
        <f t="shared" si="25"/>
        <v>172983815.11999995</v>
      </c>
      <c r="K41" s="43">
        <f t="shared" si="26"/>
        <v>0.01028757178007154</v>
      </c>
      <c r="L41" s="67">
        <f t="shared" si="27"/>
        <v>-29.99908373490716</v>
      </c>
      <c r="M41" s="59">
        <f>(L42-2*L41+L40)/($D$4^2)*$D$6*$D$7</f>
        <v>172980532.0400046</v>
      </c>
      <c r="N41" s="99">
        <f t="shared" si="6"/>
        <v>-0.0018979116589934472</v>
      </c>
      <c r="P41" s="80">
        <v>30</v>
      </c>
      <c r="Q41" s="46">
        <f>Q40+$D$4</f>
        <v>5800</v>
      </c>
      <c r="R41" s="48">
        <f t="shared" si="28"/>
        <v>-65272.86320000001</v>
      </c>
      <c r="S41" s="54">
        <f t="shared" si="29"/>
        <v>172983815.11999995</v>
      </c>
      <c r="T41" s="43">
        <f t="shared" si="30"/>
        <v>0.01028757178007154</v>
      </c>
      <c r="U41" s="67">
        <f t="shared" si="31"/>
        <v>-30</v>
      </c>
      <c r="V41" s="59">
        <f>(U42-2*U41+U40)/($D$4^2)*$D$6*$D$7</f>
        <v>166345000.00000167</v>
      </c>
      <c r="W41" s="99">
        <f t="shared" si="7"/>
        <v>-3.837824431952139</v>
      </c>
      <c r="X41" s="9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7:39" ht="13.5" thickBot="1">
      <c r="G42" s="81">
        <v>31</v>
      </c>
      <c r="H42" s="47">
        <f>H41+$D$4</f>
        <v>6000</v>
      </c>
      <c r="I42" s="49">
        <f t="shared" si="24"/>
        <v>-65469.848000000005</v>
      </c>
      <c r="J42" s="55">
        <f t="shared" si="25"/>
        <v>159909544</v>
      </c>
      <c r="K42" s="44">
        <f t="shared" si="26"/>
        <v>0.011138108124680633</v>
      </c>
      <c r="L42" s="68">
        <f t="shared" si="27"/>
        <v>-27.855402282405024</v>
      </c>
      <c r="M42" s="98">
        <f>(L44-2*L42+L41)/($D$4^2)*$D$6*$D$7</f>
        <v>159606260.91996673</v>
      </c>
      <c r="N42" s="100">
        <f t="shared" si="6"/>
        <v>-0.18965914882058105</v>
      </c>
      <c r="P42" s="81">
        <v>31</v>
      </c>
      <c r="Q42" s="47">
        <f>Q41+$D$4</f>
        <v>6000</v>
      </c>
      <c r="R42" s="49">
        <f t="shared" si="28"/>
        <v>-65469.848000000005</v>
      </c>
      <c r="S42" s="55">
        <f t="shared" si="29"/>
        <v>159909544</v>
      </c>
      <c r="T42" s="44">
        <f t="shared" si="30"/>
        <v>0.011138108124680633</v>
      </c>
      <c r="U42" s="68">
        <f t="shared" si="31"/>
        <v>-27.86</v>
      </c>
      <c r="V42" s="98">
        <f>(U44-2*U42+U41)/($D$4^2)*$D$6*$D$7</f>
        <v>166344999.9999982</v>
      </c>
      <c r="W42" s="100">
        <f t="shared" si="7"/>
        <v>4.0244352144473705</v>
      </c>
      <c r="X42" s="9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7:39" ht="12.75">
      <c r="G43" s="79">
        <v>31</v>
      </c>
      <c r="H43" s="95">
        <f>H42</f>
        <v>6000</v>
      </c>
      <c r="I43" s="50">
        <f aca="true" t="shared" si="32" ref="I43:I48">$D$10-6*$D$8-2*$D$9-$D$5*(H43-$D$11)</f>
        <v>-74469.848</v>
      </c>
      <c r="J43" s="53">
        <f aca="true" t="shared" si="33" ref="J43:J48">$D$10*(H43-$D$11)-$D$8*(H43-$D$12)-$D$8*(H43-$D$13)-$D$8*(H43-$D$14)-$D$9*(H43-$D$15)-$D$8*(H43-$D$16)-$D$9*(H43-$D$17)-$D$8*(H43-$D$18)-$D$8*(H43-$D$19)-$D$5*(H43-$D$11)^2/2</f>
        <v>159909544</v>
      </c>
      <c r="K43" s="96">
        <f aca="true" t="shared" si="34" ref="K43:K48">$K$5+($D$10*(H43-$D$11)^2/2-$D$8*(H43-$D$12)^2/2-$D$8*(H43-$D$13)^2/2-$D$8*(H43-$D$14)^2/2-$D$9*(H43-$D$15)^2/2-$D$8*(H43-$D$16)^2/2-$D$9*(H43-$D$17)^2/2-$D$8*(H43-$D$18)^2/2-$D$8*(H43-$D$19)^2/2-$D$5*(H43-$D$11)^3/6)/($D$6*$D$7)</f>
        <v>0.011138108124680633</v>
      </c>
      <c r="L43" s="66">
        <f aca="true" t="shared" si="35" ref="L43:L48">$K$5*H43+($D$10*(H43-$D$11)^3/6-$D$8*(H43-$D$12)^3/6-$D$8*(H43-$D$13)^3/6-$D$8*(H43-$D$14)^3/6-$D$9*(H43-$D$15)^3/6-$D$8*(H43-$D$16)^3/6-$D$9*(H43-$D$17)^3/6-$D$8*(H43-$D$18)^3/6-$D$8*(H43-$D$19)^3/6-$D$5*(H43-$D$11)^4/24)/($D$6*$D$7)</f>
        <v>-27.855402282405024</v>
      </c>
      <c r="M43" s="97">
        <f>(L44-2*L43+L41)/($D$4^2)*$D$6*$D$7</f>
        <v>159606260.91996673</v>
      </c>
      <c r="N43" s="101">
        <f t="shared" si="6"/>
        <v>-0.18965914882058105</v>
      </c>
      <c r="P43" s="79">
        <v>31</v>
      </c>
      <c r="Q43" s="95">
        <f>Q42</f>
        <v>6000</v>
      </c>
      <c r="R43" s="50">
        <f aca="true" t="shared" si="36" ref="R43:R48">$D$10-6*$D$8-2*$D$9-$D$5*(Q43-$D$11)</f>
        <v>-74469.848</v>
      </c>
      <c r="S43" s="53">
        <f aca="true" t="shared" si="37" ref="S43:S48">$D$10*(Q43-$D$11)-$D$8*(Q43-$D$12)-$D$8*(Q43-$D$13)-$D$8*(Q43-$D$14)-$D$9*(Q43-$D$15)-$D$8*(Q43-$D$16)-$D$9*(Q43-$D$17)-$D$8*(Q43-$D$18)-$D$8*(Q43-$D$19)-$D$5*(Q43-$D$11)^2/2</f>
        <v>159909544</v>
      </c>
      <c r="T43" s="96">
        <f aca="true" t="shared" si="38" ref="T43:T48">$K$5+($D$10*(Q43-$D$11)^2/2-$D$8*(Q43-$D$12)^2/2-$D$8*(Q43-$D$13)^2/2-$D$8*(Q43-$D$14)^2/2-$D$9*(Q43-$D$15)^2/2-$D$8*(Q43-$D$16)^2/2-$D$9*(Q43-$D$17)^2/2-$D$8*(Q43-$D$18)^2/2-$D$8*(Q43-$D$19)^2/2-$D$5*(Q43-$D$11)^3/6)/($D$6*$D$7)</f>
        <v>0.011138108124680633</v>
      </c>
      <c r="U43" s="66">
        <f aca="true" t="shared" si="39" ref="U43:U48">ROUND(($K$5*Q43+($D$10*(Q43-$D$11)^3/6-$D$8*(Q43-$D$12)^3/6-$D$8*(Q43-$D$13)^3/6-$D$8*(Q43-$D$14)^3/6-$D$9*(Q43-$D$15)^3/6-$D$8*(Q43-$D$16)^3/6-$D$9*(Q43-$D$17)^3/6-$D$8*(Q43-$D$18)^3/6-$D$8*(Q43-$D$19)^3/6-$D$5*(Q43-$D$11)^4/24)/($D$6*$D$7)),2)</f>
        <v>-27.86</v>
      </c>
      <c r="V43" s="97">
        <f>(U44-2*U43+U41)/($D$4^2)*$D$6*$D$7</f>
        <v>166344999.9999982</v>
      </c>
      <c r="W43" s="101">
        <f t="shared" si="7"/>
        <v>4.0244352144473705</v>
      </c>
      <c r="X43" s="9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7:39" ht="12.75">
      <c r="G44" s="80">
        <v>32</v>
      </c>
      <c r="H44" s="46">
        <f>H43+$D$4</f>
        <v>6200</v>
      </c>
      <c r="I44" s="48">
        <f t="shared" si="32"/>
        <v>-74666.8328</v>
      </c>
      <c r="J44" s="54">
        <f t="shared" si="33"/>
        <v>144995875.92</v>
      </c>
      <c r="K44" s="43">
        <f t="shared" si="34"/>
        <v>0.011917137215329587</v>
      </c>
      <c r="L44" s="67">
        <f t="shared" si="35"/>
        <v>-25.548607635298936</v>
      </c>
      <c r="M44" s="59">
        <f>(L45-2*L44+L43)/($D$4^2)*$D$6*$D$7</f>
        <v>144992592.84004527</v>
      </c>
      <c r="N44" s="99">
        <f t="shared" si="6"/>
        <v>-0.002264257472071129</v>
      </c>
      <c r="P44" s="80">
        <v>32</v>
      </c>
      <c r="Q44" s="46">
        <f>Q43+$D$4</f>
        <v>6200</v>
      </c>
      <c r="R44" s="48">
        <f t="shared" si="36"/>
        <v>-74666.8328</v>
      </c>
      <c r="S44" s="54">
        <f t="shared" si="37"/>
        <v>144995875.92</v>
      </c>
      <c r="T44" s="43">
        <f t="shared" si="38"/>
        <v>0.011917137215329587</v>
      </c>
      <c r="U44" s="67">
        <f t="shared" si="39"/>
        <v>-25.55</v>
      </c>
      <c r="V44" s="59">
        <f>(U45-2*U44+U43)/($D$4^2)*$D$6*$D$7</f>
        <v>146775000.00000212</v>
      </c>
      <c r="W44" s="99">
        <f t="shared" si="7"/>
        <v>1.2270170228729422</v>
      </c>
      <c r="X44" s="9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7:39" ht="12.75">
      <c r="G45" s="80">
        <v>33</v>
      </c>
      <c r="H45" s="46">
        <f>H44+$D$4</f>
        <v>6400</v>
      </c>
      <c r="I45" s="48">
        <f t="shared" si="32"/>
        <v>-74863.81760000001</v>
      </c>
      <c r="J45" s="54">
        <f t="shared" si="33"/>
        <v>130042810.87999997</v>
      </c>
      <c r="K45" s="43">
        <f t="shared" si="34"/>
        <v>0.012619858863157895</v>
      </c>
      <c r="L45" s="67">
        <f t="shared" si="35"/>
        <v>-23.093634559127906</v>
      </c>
      <c r="M45" s="59">
        <f>(L46-2*L45+L44)/($D$4^2)*$D$6*$D$7</f>
        <v>130039527.79999429</v>
      </c>
      <c r="N45" s="99">
        <f t="shared" si="6"/>
        <v>-0.0025246147660596885</v>
      </c>
      <c r="P45" s="80">
        <v>33</v>
      </c>
      <c r="Q45" s="46">
        <f>Q44+$D$4</f>
        <v>6400</v>
      </c>
      <c r="R45" s="48">
        <f t="shared" si="36"/>
        <v>-74863.81760000001</v>
      </c>
      <c r="S45" s="54">
        <f t="shared" si="37"/>
        <v>130042810.87999997</v>
      </c>
      <c r="T45" s="43">
        <f t="shared" si="38"/>
        <v>0.012619858863157895</v>
      </c>
      <c r="U45" s="67">
        <f t="shared" si="39"/>
        <v>-23.09</v>
      </c>
      <c r="V45" s="59">
        <f>(U46-2*U45+U44)/($D$4^2)*$D$6*$D$7</f>
        <v>117419999.99999751</v>
      </c>
      <c r="W45" s="99">
        <f t="shared" si="7"/>
        <v>-9.706657980232714</v>
      </c>
      <c r="X45" s="9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7:39" ht="12.75">
      <c r="G46" s="80">
        <v>34</v>
      </c>
      <c r="H46" s="46">
        <f>H45+$D$4</f>
        <v>6600</v>
      </c>
      <c r="I46" s="48">
        <f t="shared" si="32"/>
        <v>-75060.8024</v>
      </c>
      <c r="J46" s="54">
        <f t="shared" si="33"/>
        <v>115050348.88000003</v>
      </c>
      <c r="K46" s="43">
        <f t="shared" si="34"/>
        <v>0.013246071755135412</v>
      </c>
      <c r="L46" s="67">
        <f t="shared" si="35"/>
        <v>-20.50576467375913</v>
      </c>
      <c r="M46" s="59">
        <f>(L47-2*L46+L45)/($D$4^2)*$D$6*$D$7</f>
        <v>115047065.79996592</v>
      </c>
      <c r="N46" s="99">
        <f t="shared" si="6"/>
        <v>-0.0028536028495935225</v>
      </c>
      <c r="P46" s="80">
        <v>34</v>
      </c>
      <c r="Q46" s="46">
        <f>Q45+$D$4</f>
        <v>6600</v>
      </c>
      <c r="R46" s="48">
        <f t="shared" si="36"/>
        <v>-75060.8024</v>
      </c>
      <c r="S46" s="54">
        <f t="shared" si="37"/>
        <v>115050348.88000003</v>
      </c>
      <c r="T46" s="43">
        <f t="shared" si="38"/>
        <v>0.013246071755135412</v>
      </c>
      <c r="U46" s="67">
        <f t="shared" si="39"/>
        <v>-20.51</v>
      </c>
      <c r="V46" s="59">
        <f>(U47-2*U46+U45)/($D$4^2)*$D$6*$D$7</f>
        <v>127205000.00000249</v>
      </c>
      <c r="W46" s="99">
        <f t="shared" si="7"/>
        <v>10.564636472923715</v>
      </c>
      <c r="X46" s="9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7:39" ht="12.75">
      <c r="G47" s="80">
        <v>35</v>
      </c>
      <c r="H47" s="46">
        <f>H46+$D$4</f>
        <v>6800</v>
      </c>
      <c r="I47" s="48">
        <f t="shared" si="32"/>
        <v>-75257.7872</v>
      </c>
      <c r="J47" s="54">
        <f t="shared" si="33"/>
        <v>100018489.91999996</v>
      </c>
      <c r="K47" s="43">
        <f t="shared" si="34"/>
        <v>0.01379557457823199</v>
      </c>
      <c r="L47" s="67">
        <f t="shared" si="35"/>
        <v>-17.800319861665812</v>
      </c>
      <c r="M47" s="59">
        <f>(L48-2*L47+L46)/($D$4^2)*$D$6*$D$7</f>
        <v>100015206.8400158</v>
      </c>
      <c r="N47" s="99">
        <f t="shared" si="6"/>
        <v>-0.0032824730575159223</v>
      </c>
      <c r="P47" s="80">
        <v>35</v>
      </c>
      <c r="Q47" s="46">
        <f>Q46+$D$4</f>
        <v>6800</v>
      </c>
      <c r="R47" s="48">
        <f t="shared" si="36"/>
        <v>-75257.7872</v>
      </c>
      <c r="S47" s="54">
        <f t="shared" si="37"/>
        <v>100018489.91999996</v>
      </c>
      <c r="T47" s="43">
        <f t="shared" si="38"/>
        <v>0.01379557457823199</v>
      </c>
      <c r="U47" s="67">
        <f t="shared" si="39"/>
        <v>-17.8</v>
      </c>
      <c r="V47" s="59">
        <f>(U48-2*U47+U46)/($D$4^2)*$D$6*$D$7</f>
        <v>97849999.99999791</v>
      </c>
      <c r="W47" s="99">
        <f t="shared" si="7"/>
        <v>-2.168089042072636</v>
      </c>
      <c r="X47" s="9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7:39" ht="13.5" thickBot="1">
      <c r="G48" s="81">
        <v>36</v>
      </c>
      <c r="H48" s="47">
        <f>H47+$D$4</f>
        <v>7000</v>
      </c>
      <c r="I48" s="49">
        <f t="shared" si="32"/>
        <v>-75454.772</v>
      </c>
      <c r="J48" s="55">
        <f t="shared" si="33"/>
        <v>84947234</v>
      </c>
      <c r="K48" s="44">
        <f t="shared" si="34"/>
        <v>0.014268166019417475</v>
      </c>
      <c r="L48" s="68">
        <f t="shared" si="35"/>
        <v>-14.992662267927102</v>
      </c>
      <c r="M48" s="98">
        <f>(L50-2*L48+L47)/($D$4^2)*$D$6*$D$7</f>
        <v>84643950.9200196</v>
      </c>
      <c r="N48" s="100">
        <f t="shared" si="6"/>
        <v>-0.3570252563849262</v>
      </c>
      <c r="P48" s="81">
        <v>36</v>
      </c>
      <c r="Q48" s="47">
        <f>Q47+$D$4</f>
        <v>7000</v>
      </c>
      <c r="R48" s="49">
        <f t="shared" si="36"/>
        <v>-75454.772</v>
      </c>
      <c r="S48" s="55">
        <f t="shared" si="37"/>
        <v>84947234</v>
      </c>
      <c r="T48" s="44">
        <f t="shared" si="38"/>
        <v>0.014268166019417475</v>
      </c>
      <c r="U48" s="68">
        <f t="shared" si="39"/>
        <v>-14.99</v>
      </c>
      <c r="V48" s="98">
        <f>(U50-2*U48+U47)/($D$4^2)*$D$6*$D$7</f>
        <v>78280000.0000018</v>
      </c>
      <c r="W48" s="100">
        <f t="shared" si="7"/>
        <v>-7.848676979874586</v>
      </c>
      <c r="X48" s="9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7:39" ht="12.75">
      <c r="G49" s="79">
        <v>36</v>
      </c>
      <c r="H49" s="95">
        <f>H48</f>
        <v>7000</v>
      </c>
      <c r="I49" s="50">
        <f aca="true" t="shared" si="40" ref="I49:I54">$D$10-7*$D$8-2*$D$9-$D$5*(H49-$D$11)</f>
        <v>-84454.772</v>
      </c>
      <c r="J49" s="53">
        <f aca="true" t="shared" si="41" ref="J49:J54">$D$10*(H49-$D$11)-$D$8*(H49-$D$12)-$D$8*(H49-$D$13)-$D$8*(H49-$D$14)-$D$9*(H49-$D$15)-$D$8*(H49-$D$16)-$D$9*(H49-$D$17)-$D$8*(H49-$D$18)-$D$8*(H49-$D$19)-$D$8*(H49-$D$20)-$D$5*(H49-$D$11)^2/2</f>
        <v>84947234</v>
      </c>
      <c r="K49" s="96">
        <f aca="true" t="shared" si="42" ref="K49:K54">$K$5+($D$10*(H49-$D$11)^2/2-$D$8*(H49-$D$12)^2/2-$D$8*(H49-$D$13)^2/2-$D$8*(H49-$D$14)^2/2-$D$9*(H49-$D$15)^2/2-$D$8*(H49-$D$16)^2/2-$D$9*(H49-$D$17)^2/2-$D$8*(H49-$D$18)^2/2-$D$8*(H49-$D$19)^2/2-$D$8*(H49-$D$20)^2/2-$D$5*(H49-$D$11)^3/6)/($D$6*$D$7)</f>
        <v>0.014268166019417475</v>
      </c>
      <c r="L49" s="66">
        <f aca="true" t="shared" si="43" ref="L49:L54">$K$5*H49+($D$10*(H49-$D$11)^3/6-$D$8*(H49-$D$12)^3/6-$D$8*(H49-$D$13)^3/6-$D$8*(H49-$D$14)^3/6-$D$9*(H49-$D$15)^3/6-$D$8*(H49-$D$16)^3/6-$D$9*(H49-$D$17)^3/6-$D$8*(H49-$D$18)^3/6-$D$8*(H49-$D$19)^3/6-$D$8*(H49-$D$20)^3/6-$D$5*(H49-$D$11)^4/24)/($D$6*$D$7)</f>
        <v>-14.992662267927102</v>
      </c>
      <c r="M49" s="97">
        <f>(L50-2*L49+L47)/($D$4^2)*$D$6*$D$7</f>
        <v>84643950.9200196</v>
      </c>
      <c r="N49" s="101">
        <f t="shared" si="6"/>
        <v>-0.3570252563849262</v>
      </c>
      <c r="P49" s="79">
        <v>36</v>
      </c>
      <c r="Q49" s="95">
        <f>Q48</f>
        <v>7000</v>
      </c>
      <c r="R49" s="50">
        <f aca="true" t="shared" si="44" ref="R49:R54">$D$10-7*$D$8-2*$D$9-$D$5*(Q49-$D$11)</f>
        <v>-84454.772</v>
      </c>
      <c r="S49" s="53">
        <f aca="true" t="shared" si="45" ref="S49:S54">$D$10*(Q49-$D$11)-$D$8*(Q49-$D$12)-$D$8*(Q49-$D$13)-$D$8*(Q49-$D$14)-$D$9*(Q49-$D$15)-$D$8*(Q49-$D$16)-$D$9*(Q49-$D$17)-$D$8*(Q49-$D$18)-$D$8*(Q49-$D$19)-$D$8*(Q49-$D$20)-$D$5*(Q49-$D$11)^2/2</f>
        <v>84947234</v>
      </c>
      <c r="T49" s="96">
        <f aca="true" t="shared" si="46" ref="T49:T54">$K$5+($D$10*(Q49-$D$11)^2/2-$D$8*(Q49-$D$12)^2/2-$D$8*(Q49-$D$13)^2/2-$D$8*(Q49-$D$14)^2/2-$D$9*(Q49-$D$15)^2/2-$D$8*(Q49-$D$16)^2/2-$D$9*(Q49-$D$17)^2/2-$D$8*(Q49-$D$18)^2/2-$D$8*(Q49-$D$19)^2/2-$D$8*(Q49-$D$20)^2/2-$D$5*(Q49-$D$11)^3/6)/($D$6*$D$7)</f>
        <v>0.014268166019417475</v>
      </c>
      <c r="U49" s="66">
        <f aca="true" t="shared" si="47" ref="U49:U54">ROUND(($K$5*Q49+($D$10*(Q49-$D$11)^3/6-$D$8*(Q49-$D$12)^3/6-$D$8*(Q49-$D$13)^3/6-$D$8*(Q49-$D$14)^3/6-$D$9*(Q49-$D$15)^3/6-$D$8*(Q49-$D$16)^3/6-$D$9*(Q49-$D$17)^3/6-$D$8*(Q49-$D$18)^3/6-$D$8*(Q49-$D$19)^3/6-$D$8*(Q49-$D$20)^3/6-$D$5*(Q49-$D$11)^4/24)/($D$6*$D$7)),2)</f>
        <v>-14.99</v>
      </c>
      <c r="V49" s="97">
        <f>(U50-2*U49+U47)/($D$4^2)*$D$6*$D$7</f>
        <v>78280000.0000018</v>
      </c>
      <c r="W49" s="101">
        <f t="shared" si="7"/>
        <v>-7.848676979874586</v>
      </c>
      <c r="X49" s="9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7:39" ht="12.75">
      <c r="G50" s="80">
        <v>37</v>
      </c>
      <c r="H50" s="46">
        <f>H49+$D$4</f>
        <v>7200</v>
      </c>
      <c r="I50" s="48">
        <f t="shared" si="40"/>
        <v>-84651.7568</v>
      </c>
      <c r="J50" s="54">
        <f t="shared" si="41"/>
        <v>68036581.11999993</v>
      </c>
      <c r="K50" s="43">
        <f t="shared" si="42"/>
        <v>0.014659045889831376</v>
      </c>
      <c r="L50" s="67">
        <f t="shared" si="43"/>
        <v>-12.098500891950252</v>
      </c>
      <c r="M50" s="59">
        <f>(L51-2*L50+L49)/($D$4^2)*$D$6*$D$7</f>
        <v>68033298.03997989</v>
      </c>
      <c r="N50" s="99">
        <f t="shared" si="6"/>
        <v>-0.00482546295830139</v>
      </c>
      <c r="P50" s="80">
        <v>37</v>
      </c>
      <c r="Q50" s="46">
        <f>Q49+$D$4</f>
        <v>7200</v>
      </c>
      <c r="R50" s="48">
        <f t="shared" si="44"/>
        <v>-84651.7568</v>
      </c>
      <c r="S50" s="54">
        <f t="shared" si="45"/>
        <v>68036581.11999993</v>
      </c>
      <c r="T50" s="43">
        <f t="shared" si="46"/>
        <v>0.014659045889831376</v>
      </c>
      <c r="U50" s="67">
        <f t="shared" si="47"/>
        <v>-12.1</v>
      </c>
      <c r="V50" s="59">
        <f>(U51-2*U50+U49)/($D$4^2)*$D$6*$D$7</f>
        <v>78279999.99999835</v>
      </c>
      <c r="W50" s="99">
        <f t="shared" si="7"/>
        <v>15.055751937228479</v>
      </c>
      <c r="X50" s="9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7:39" ht="12.75">
      <c r="G51" s="80">
        <v>38</v>
      </c>
      <c r="H51" s="46">
        <f>H50+$D$4</f>
        <v>7400</v>
      </c>
      <c r="I51" s="48">
        <f t="shared" si="40"/>
        <v>-84848.74160000001</v>
      </c>
      <c r="J51" s="54">
        <f t="shared" si="41"/>
        <v>51086531.27999997</v>
      </c>
      <c r="K51" s="43">
        <f t="shared" si="42"/>
        <v>0.014963414000613183</v>
      </c>
      <c r="L51" s="67">
        <f t="shared" si="43"/>
        <v>-9.134811362636682</v>
      </c>
      <c r="M51" s="59">
        <f>(L52-2*L51+L50)/($D$4^2)*$D$6*$D$7</f>
        <v>51083248.20000537</v>
      </c>
      <c r="N51" s="99">
        <f t="shared" si="6"/>
        <v>-0.006426507951009183</v>
      </c>
      <c r="P51" s="80">
        <v>38</v>
      </c>
      <c r="Q51" s="46">
        <f>Q50+$D$4</f>
        <v>7400</v>
      </c>
      <c r="R51" s="48">
        <f t="shared" si="44"/>
        <v>-84848.74160000001</v>
      </c>
      <c r="S51" s="54">
        <f t="shared" si="45"/>
        <v>51086531.27999997</v>
      </c>
      <c r="T51" s="43">
        <f t="shared" si="46"/>
        <v>0.014963414000613183</v>
      </c>
      <c r="U51" s="67">
        <f t="shared" si="47"/>
        <v>-9.13</v>
      </c>
      <c r="V51" s="59">
        <f>(U52-2*U51+U50)/($D$4^2)*$D$6*$D$7</f>
        <v>39140000.0000009</v>
      </c>
      <c r="W51" s="99">
        <f t="shared" si="7"/>
        <v>-23.38489417987957</v>
      </c>
      <c r="X51" s="9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2.75">
      <c r="A52" s="1"/>
      <c r="B52" s="1"/>
      <c r="C52" s="1"/>
      <c r="D52" s="1"/>
      <c r="E52" s="1"/>
      <c r="G52" s="80">
        <v>39</v>
      </c>
      <c r="H52" s="46">
        <f>H51+$D$4</f>
        <v>7600</v>
      </c>
      <c r="I52" s="48">
        <f t="shared" si="40"/>
        <v>-85045.7264</v>
      </c>
      <c r="J52" s="54">
        <f t="shared" si="41"/>
        <v>34097084.48000002</v>
      </c>
      <c r="K52" s="43">
        <f t="shared" si="42"/>
        <v>0.015181069038732753</v>
      </c>
      <c r="L52" s="67">
        <f t="shared" si="43"/>
        <v>-6.1189161632158005</v>
      </c>
      <c r="M52" s="59">
        <f>(L53-2*L52+L51)/($D$4^2)*$D$6*$D$7</f>
        <v>34093801.39998392</v>
      </c>
      <c r="N52" s="99">
        <f t="shared" si="6"/>
        <v>-0.009628623872591334</v>
      </c>
      <c r="P52" s="80">
        <v>39</v>
      </c>
      <c r="Q52" s="46">
        <f>Q51+$D$4</f>
        <v>7600</v>
      </c>
      <c r="R52" s="48">
        <f t="shared" si="44"/>
        <v>-85045.7264</v>
      </c>
      <c r="S52" s="54">
        <f t="shared" si="45"/>
        <v>34097084.48000002</v>
      </c>
      <c r="T52" s="43">
        <f t="shared" si="46"/>
        <v>0.015181069038732753</v>
      </c>
      <c r="U52" s="67">
        <f t="shared" si="47"/>
        <v>-6.12</v>
      </c>
      <c r="V52" s="59">
        <f>(U53-2*U52+U51)/($D$4^2)*$D$6*$D$7</f>
        <v>39139999.99999917</v>
      </c>
      <c r="W52" s="99">
        <f t="shared" si="7"/>
        <v>14.789873084184443</v>
      </c>
      <c r="X52" s="9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2.75">
      <c r="A53" s="1"/>
      <c r="B53" s="1"/>
      <c r="C53" s="1"/>
      <c r="D53" s="1"/>
      <c r="E53" s="1"/>
      <c r="G53" s="80">
        <v>40</v>
      </c>
      <c r="H53" s="46">
        <f>H52+$D$4</f>
        <v>7800</v>
      </c>
      <c r="I53" s="48">
        <f t="shared" si="40"/>
        <v>-85242.7112</v>
      </c>
      <c r="J53" s="54">
        <f t="shared" si="41"/>
        <v>17068240.719999947</v>
      </c>
      <c r="K53" s="43">
        <f t="shared" si="42"/>
        <v>0.01531180969115994</v>
      </c>
      <c r="L53" s="67">
        <f t="shared" si="43"/>
        <v>-3.06817803952309</v>
      </c>
      <c r="M53" s="59">
        <f>(L54-2*L53+L52)/($D$4^2)*$D$6*$D$7</f>
        <v>17064957.64002679</v>
      </c>
      <c r="N53" s="99">
        <f t="shared" si="6"/>
        <v>-0.01923502267758915</v>
      </c>
      <c r="P53" s="80">
        <v>40</v>
      </c>
      <c r="Q53" s="46">
        <f>Q52+$D$4</f>
        <v>7800</v>
      </c>
      <c r="R53" s="48">
        <f t="shared" si="44"/>
        <v>-85242.7112</v>
      </c>
      <c r="S53" s="54">
        <f t="shared" si="45"/>
        <v>17068240.719999947</v>
      </c>
      <c r="T53" s="43">
        <f t="shared" si="46"/>
        <v>0.01531180969115994</v>
      </c>
      <c r="U53" s="67">
        <f t="shared" si="47"/>
        <v>-3.07</v>
      </c>
      <c r="V53" s="59">
        <f>(U54-2*U53+U52)/($D$4^2)*$D$6*$D$7</f>
        <v>19569999.999999586</v>
      </c>
      <c r="W53" s="99">
        <f t="shared" si="7"/>
        <v>14.657393934385803</v>
      </c>
      <c r="X53" s="9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3.5" thickBot="1">
      <c r="A54" s="1"/>
      <c r="B54" s="1"/>
      <c r="C54" s="1"/>
      <c r="D54" s="1"/>
      <c r="E54" s="1"/>
      <c r="G54" s="81">
        <v>41</v>
      </c>
      <c r="H54" s="47">
        <f>H53+$D$4</f>
        <v>8000</v>
      </c>
      <c r="I54" s="49">
        <f t="shared" si="40"/>
        <v>-85439.69600000001</v>
      </c>
      <c r="J54" s="55">
        <f t="shared" si="41"/>
        <v>0</v>
      </c>
      <c r="K54" s="44">
        <f t="shared" si="42"/>
        <v>0.015355434644864588</v>
      </c>
      <c r="L54" s="68">
        <f t="shared" si="43"/>
        <v>0</v>
      </c>
      <c r="M54" s="60">
        <v>0</v>
      </c>
      <c r="N54" s="103">
        <v>0</v>
      </c>
      <c r="P54" s="81">
        <v>41</v>
      </c>
      <c r="Q54" s="47">
        <f>Q53+$D$4</f>
        <v>8000</v>
      </c>
      <c r="R54" s="49">
        <f t="shared" si="44"/>
        <v>-85439.69600000001</v>
      </c>
      <c r="S54" s="55">
        <f t="shared" si="45"/>
        <v>0</v>
      </c>
      <c r="T54" s="44">
        <f t="shared" si="46"/>
        <v>0.015355434644864588</v>
      </c>
      <c r="U54" s="68">
        <f t="shared" si="47"/>
        <v>0</v>
      </c>
      <c r="V54" s="60">
        <v>0</v>
      </c>
      <c r="W54" s="103">
        <v>0</v>
      </c>
      <c r="X54" s="9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6" ht="12.75">
      <c r="A55" s="1"/>
      <c r="B55" s="1"/>
      <c r="C55" s="1"/>
      <c r="D55" s="1"/>
      <c r="E55" s="1"/>
      <c r="G55" s="8"/>
      <c r="H55" s="14"/>
      <c r="I55" s="8"/>
      <c r="J55" s="8"/>
      <c r="K55" s="8"/>
      <c r="L55" s="8"/>
      <c r="M55" s="8"/>
      <c r="N55" s="8"/>
      <c r="O55" s="8"/>
      <c r="P55" s="8"/>
      <c r="Q55" s="9"/>
      <c r="R55" s="9"/>
      <c r="S55" s="9"/>
      <c r="T55" s="9"/>
      <c r="U55" s="9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2.75">
      <c r="A56" s="1"/>
      <c r="B56" s="1"/>
      <c r="E56" s="1"/>
      <c r="F56" s="1"/>
      <c r="G56" s="8"/>
      <c r="H56" s="14"/>
      <c r="I56" s="8"/>
      <c r="J56" s="8"/>
      <c r="K56" s="8"/>
      <c r="L56" s="8"/>
      <c r="M56" s="8"/>
      <c r="N56" s="8"/>
      <c r="O56" s="8"/>
      <c r="P56" s="8"/>
      <c r="Q56" s="9"/>
      <c r="R56" s="9"/>
      <c r="S56" s="9"/>
      <c r="T56" s="9"/>
      <c r="U56" s="9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2.75">
      <c r="A57" s="1"/>
      <c r="B57" s="1"/>
      <c r="C57" s="1"/>
      <c r="D57" s="1"/>
      <c r="E57" s="1"/>
      <c r="F57" s="1"/>
      <c r="G57" s="8"/>
      <c r="H57" s="14"/>
      <c r="I57" s="8"/>
      <c r="J57" s="8"/>
      <c r="K57" s="8"/>
      <c r="L57" s="8"/>
      <c r="M57" s="8"/>
      <c r="N57" s="8"/>
      <c r="O57" s="8"/>
      <c r="P57" s="8"/>
      <c r="Q57" s="9"/>
      <c r="R57" s="9"/>
      <c r="S57" s="9"/>
      <c r="T57" s="9"/>
      <c r="U57" s="9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2.75">
      <c r="A58" s="1"/>
      <c r="B58" s="1"/>
      <c r="C58" s="1"/>
      <c r="D58" s="1"/>
      <c r="E58" s="1"/>
      <c r="F58" s="1"/>
      <c r="G58" s="8"/>
      <c r="H58" s="14"/>
      <c r="I58" s="8"/>
      <c r="J58" s="8"/>
      <c r="K58" s="8"/>
      <c r="L58" s="8"/>
      <c r="M58" s="8"/>
      <c r="N58" s="8"/>
      <c r="O58" s="8"/>
      <c r="P58" s="8"/>
      <c r="Q58" s="9"/>
      <c r="R58" s="9"/>
      <c r="S58" s="9"/>
      <c r="T58" s="9"/>
      <c r="U58" s="9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7" ht="15">
      <c r="A59" s="86"/>
      <c r="B59" s="86"/>
      <c r="C59" s="86"/>
      <c r="D59" s="86"/>
      <c r="E59" s="86"/>
      <c r="F59" s="86"/>
      <c r="G59" s="87"/>
      <c r="H59" s="24"/>
      <c r="I59" s="86"/>
      <c r="J59" s="88"/>
      <c r="K59" s="89"/>
      <c r="L59" s="90"/>
      <c r="M59" s="87"/>
      <c r="N59" s="87"/>
      <c r="O59" s="86"/>
      <c r="P59" s="90"/>
      <c r="Q59" s="87"/>
      <c r="R59" s="87"/>
      <c r="S59" s="87"/>
      <c r="T59" s="87"/>
      <c r="U59" s="87"/>
      <c r="V59" s="24"/>
      <c r="W59" s="86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2.75">
      <c r="A60" s="86"/>
      <c r="B60" s="86"/>
      <c r="C60" s="86"/>
      <c r="D60" s="86"/>
      <c r="E60" s="86"/>
      <c r="F60" s="86"/>
      <c r="G60" s="87"/>
      <c r="H60" s="24"/>
      <c r="I60" s="86"/>
      <c r="J60" s="24"/>
      <c r="K60" s="89"/>
      <c r="L60" s="91"/>
      <c r="M60" s="87"/>
      <c r="N60" s="92"/>
      <c r="O60" s="86"/>
      <c r="P60" s="93"/>
      <c r="Q60" s="87"/>
      <c r="R60" s="92"/>
      <c r="S60" s="92"/>
      <c r="T60" s="92"/>
      <c r="U60" s="92"/>
      <c r="V60" s="24"/>
      <c r="W60" s="86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2.75">
      <c r="A61" s="86"/>
      <c r="B61" s="86"/>
      <c r="C61" s="86"/>
      <c r="D61" s="86"/>
      <c r="E61" s="86"/>
      <c r="F61" s="86"/>
      <c r="G61" s="87"/>
      <c r="H61" s="24"/>
      <c r="I61" s="86"/>
      <c r="J61" s="24"/>
      <c r="K61" s="89"/>
      <c r="L61" s="91"/>
      <c r="M61" s="24"/>
      <c r="N61" s="92"/>
      <c r="O61" s="87"/>
      <c r="P61" s="93"/>
      <c r="Q61" s="24"/>
      <c r="R61" s="92"/>
      <c r="S61" s="92"/>
      <c r="T61" s="92"/>
      <c r="U61" s="92"/>
      <c r="V61" s="24"/>
      <c r="W61" s="86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2.75">
      <c r="A62" s="86"/>
      <c r="B62" s="86"/>
      <c r="C62" s="86"/>
      <c r="D62" s="86"/>
      <c r="E62" s="86"/>
      <c r="F62" s="86"/>
      <c r="G62" s="87"/>
      <c r="H62" s="24"/>
      <c r="I62" s="24"/>
      <c r="J62" s="24"/>
      <c r="K62" s="89"/>
      <c r="L62" s="91"/>
      <c r="M62" s="24"/>
      <c r="N62" s="92"/>
      <c r="O62" s="87"/>
      <c r="P62" s="93"/>
      <c r="Q62" s="24"/>
      <c r="R62" s="92"/>
      <c r="S62" s="92"/>
      <c r="T62" s="92"/>
      <c r="U62" s="92"/>
      <c r="V62" s="24"/>
      <c r="W62" s="86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2.75">
      <c r="A63" s="86"/>
      <c r="B63" s="86"/>
      <c r="C63" s="86"/>
      <c r="D63" s="86"/>
      <c r="E63" s="86"/>
      <c r="F63" s="86"/>
      <c r="G63" s="87"/>
      <c r="H63" s="24"/>
      <c r="I63" s="24"/>
      <c r="J63" s="24"/>
      <c r="K63" s="89"/>
      <c r="L63" s="91"/>
      <c r="M63" s="24"/>
      <c r="N63" s="92"/>
      <c r="O63" s="87"/>
      <c r="P63" s="93"/>
      <c r="Q63" s="24"/>
      <c r="R63" s="92"/>
      <c r="S63" s="92"/>
      <c r="T63" s="92"/>
      <c r="U63" s="92"/>
      <c r="V63" s="24"/>
      <c r="W63" s="86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2.75">
      <c r="A64" s="86"/>
      <c r="B64" s="86"/>
      <c r="C64" s="86"/>
      <c r="D64" s="86"/>
      <c r="E64" s="86"/>
      <c r="F64" s="86"/>
      <c r="G64" s="87"/>
      <c r="H64" s="24"/>
      <c r="I64" s="24"/>
      <c r="J64" s="24"/>
      <c r="K64" s="89"/>
      <c r="L64" s="91"/>
      <c r="M64" s="24"/>
      <c r="N64" s="92"/>
      <c r="O64" s="87"/>
      <c r="P64" s="93"/>
      <c r="Q64" s="24"/>
      <c r="R64" s="92"/>
      <c r="S64" s="92"/>
      <c r="T64" s="92"/>
      <c r="U64" s="92"/>
      <c r="V64" s="24"/>
      <c r="W64" s="86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2.75">
      <c r="A65" s="86"/>
      <c r="B65" s="86"/>
      <c r="C65" s="86"/>
      <c r="D65" s="86"/>
      <c r="E65" s="86"/>
      <c r="F65" s="86"/>
      <c r="G65" s="87"/>
      <c r="H65" s="24"/>
      <c r="I65" s="24"/>
      <c r="J65" s="24"/>
      <c r="K65" s="89"/>
      <c r="L65" s="91"/>
      <c r="M65" s="24"/>
      <c r="N65" s="92"/>
      <c r="O65" s="87"/>
      <c r="P65" s="93"/>
      <c r="Q65" s="24"/>
      <c r="R65" s="92"/>
      <c r="S65" s="92"/>
      <c r="T65" s="92"/>
      <c r="U65" s="92"/>
      <c r="V65" s="24"/>
      <c r="W65" s="86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2.75">
      <c r="A66" s="86"/>
      <c r="B66" s="86"/>
      <c r="C66" s="86"/>
      <c r="D66" s="86"/>
      <c r="E66" s="86"/>
      <c r="F66" s="86"/>
      <c r="G66" s="87"/>
      <c r="H66" s="24"/>
      <c r="I66" s="24"/>
      <c r="J66" s="24"/>
      <c r="K66" s="89"/>
      <c r="L66" s="91"/>
      <c r="M66" s="24"/>
      <c r="N66" s="92"/>
      <c r="O66" s="87"/>
      <c r="P66" s="93"/>
      <c r="Q66" s="24"/>
      <c r="R66" s="92"/>
      <c r="S66" s="92"/>
      <c r="T66" s="92"/>
      <c r="U66" s="92"/>
      <c r="V66" s="24"/>
      <c r="W66" s="86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2.75">
      <c r="A67" s="86"/>
      <c r="B67" s="86"/>
      <c r="C67" s="86"/>
      <c r="D67" s="86"/>
      <c r="E67" s="86"/>
      <c r="F67" s="86"/>
      <c r="G67" s="87"/>
      <c r="H67" s="24"/>
      <c r="I67" s="24"/>
      <c r="J67" s="24"/>
      <c r="K67" s="89"/>
      <c r="L67" s="91"/>
      <c r="M67" s="24"/>
      <c r="N67" s="92"/>
      <c r="O67" s="87"/>
      <c r="P67" s="93"/>
      <c r="Q67" s="24"/>
      <c r="R67" s="92"/>
      <c r="S67" s="92"/>
      <c r="T67" s="92"/>
      <c r="U67" s="92"/>
      <c r="V67" s="24"/>
      <c r="W67" s="86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2.75">
      <c r="A68" s="86"/>
      <c r="B68" s="86"/>
      <c r="C68" s="86"/>
      <c r="D68" s="86"/>
      <c r="E68" s="86"/>
      <c r="F68" s="86"/>
      <c r="G68" s="87"/>
      <c r="H68" s="24"/>
      <c r="I68" s="24"/>
      <c r="J68" s="24"/>
      <c r="K68" s="89"/>
      <c r="L68" s="91"/>
      <c r="M68" s="24"/>
      <c r="N68" s="92"/>
      <c r="O68" s="87"/>
      <c r="P68" s="93"/>
      <c r="Q68" s="24"/>
      <c r="R68" s="92"/>
      <c r="S68" s="92"/>
      <c r="T68" s="92"/>
      <c r="U68" s="92"/>
      <c r="V68" s="24"/>
      <c r="W68" s="86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2.75">
      <c r="A69" s="86"/>
      <c r="B69" s="86"/>
      <c r="C69" s="86"/>
      <c r="D69" s="86"/>
      <c r="E69" s="86"/>
      <c r="F69" s="86"/>
      <c r="G69" s="87"/>
      <c r="H69" s="24"/>
      <c r="I69" s="24"/>
      <c r="J69" s="24"/>
      <c r="K69" s="89"/>
      <c r="L69" s="91"/>
      <c r="M69" s="24"/>
      <c r="N69" s="92"/>
      <c r="O69" s="87"/>
      <c r="P69" s="93"/>
      <c r="Q69" s="24"/>
      <c r="R69" s="92"/>
      <c r="S69" s="92"/>
      <c r="T69" s="92"/>
      <c r="U69" s="92"/>
      <c r="V69" s="24"/>
      <c r="W69" s="86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2.75">
      <c r="A70" s="86"/>
      <c r="B70" s="86"/>
      <c r="C70" s="86"/>
      <c r="D70" s="86"/>
      <c r="E70" s="86"/>
      <c r="F70" s="86"/>
      <c r="G70" s="87"/>
      <c r="H70" s="24"/>
      <c r="I70" s="24"/>
      <c r="J70" s="24"/>
      <c r="K70" s="89"/>
      <c r="L70" s="91"/>
      <c r="M70" s="24"/>
      <c r="N70" s="92"/>
      <c r="O70" s="87"/>
      <c r="P70" s="93"/>
      <c r="Q70" s="24"/>
      <c r="R70" s="92"/>
      <c r="S70" s="92"/>
      <c r="T70" s="92"/>
      <c r="U70" s="92"/>
      <c r="V70" s="24"/>
      <c r="W70" s="86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2.75">
      <c r="A71" s="86"/>
      <c r="B71" s="86"/>
      <c r="C71" s="86"/>
      <c r="D71" s="86"/>
      <c r="E71" s="86"/>
      <c r="F71" s="86"/>
      <c r="G71" s="87"/>
      <c r="H71" s="24"/>
      <c r="I71" s="24"/>
      <c r="J71" s="24"/>
      <c r="K71" s="89"/>
      <c r="L71" s="91"/>
      <c r="M71" s="24"/>
      <c r="N71" s="92"/>
      <c r="O71" s="87"/>
      <c r="P71" s="93"/>
      <c r="Q71" s="24"/>
      <c r="R71" s="92"/>
      <c r="S71" s="92"/>
      <c r="T71" s="92"/>
      <c r="U71" s="92"/>
      <c r="V71" s="24"/>
      <c r="W71" s="86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2.75">
      <c r="A72" s="86"/>
      <c r="B72" s="86"/>
      <c r="C72" s="86"/>
      <c r="D72" s="86"/>
      <c r="E72" s="86"/>
      <c r="F72" s="86"/>
      <c r="G72" s="87"/>
      <c r="H72" s="24"/>
      <c r="I72" s="24"/>
      <c r="J72" s="24"/>
      <c r="K72" s="89"/>
      <c r="L72" s="91"/>
      <c r="M72" s="24"/>
      <c r="N72" s="92"/>
      <c r="O72" s="87"/>
      <c r="P72" s="93"/>
      <c r="Q72" s="24"/>
      <c r="R72" s="92"/>
      <c r="S72" s="92"/>
      <c r="T72" s="92"/>
      <c r="U72" s="92"/>
      <c r="V72" s="24"/>
      <c r="W72" s="86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2.75">
      <c r="A73" s="86"/>
      <c r="B73" s="86"/>
      <c r="C73" s="86"/>
      <c r="D73" s="86"/>
      <c r="E73" s="86"/>
      <c r="F73" s="86"/>
      <c r="G73" s="87"/>
      <c r="H73" s="24"/>
      <c r="I73" s="24"/>
      <c r="J73" s="24"/>
      <c r="K73" s="89"/>
      <c r="L73" s="91"/>
      <c r="M73" s="24"/>
      <c r="N73" s="92"/>
      <c r="O73" s="87"/>
      <c r="P73" s="93"/>
      <c r="Q73" s="24"/>
      <c r="R73" s="92"/>
      <c r="S73" s="92"/>
      <c r="T73" s="92"/>
      <c r="U73" s="92"/>
      <c r="V73" s="24"/>
      <c r="W73" s="86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2.75">
      <c r="A74" s="86"/>
      <c r="B74" s="86"/>
      <c r="C74" s="86"/>
      <c r="D74" s="86"/>
      <c r="E74" s="86"/>
      <c r="F74" s="86"/>
      <c r="G74" s="87"/>
      <c r="H74" s="24"/>
      <c r="I74" s="24"/>
      <c r="J74" s="24"/>
      <c r="K74" s="89"/>
      <c r="L74" s="91"/>
      <c r="M74" s="24"/>
      <c r="N74" s="92"/>
      <c r="O74" s="87"/>
      <c r="P74" s="93"/>
      <c r="Q74" s="24"/>
      <c r="R74" s="92"/>
      <c r="S74" s="92"/>
      <c r="T74" s="92"/>
      <c r="U74" s="92"/>
      <c r="V74" s="24"/>
      <c r="W74" s="86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2.75">
      <c r="A75" s="86"/>
      <c r="B75" s="86"/>
      <c r="C75" s="86"/>
      <c r="D75" s="86"/>
      <c r="E75" s="86"/>
      <c r="F75" s="86"/>
      <c r="G75" s="87"/>
      <c r="H75" s="24"/>
      <c r="I75" s="24"/>
      <c r="J75" s="24"/>
      <c r="K75" s="89"/>
      <c r="L75" s="91"/>
      <c r="M75" s="24"/>
      <c r="N75" s="92"/>
      <c r="O75" s="87"/>
      <c r="P75" s="93"/>
      <c r="Q75" s="24"/>
      <c r="R75" s="92"/>
      <c r="S75" s="92"/>
      <c r="T75" s="92"/>
      <c r="U75" s="92"/>
      <c r="V75" s="24"/>
      <c r="W75" s="86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2.75">
      <c r="A76" s="86"/>
      <c r="B76" s="86"/>
      <c r="C76" s="86"/>
      <c r="D76" s="86"/>
      <c r="E76" s="86"/>
      <c r="F76" s="86"/>
      <c r="G76" s="87"/>
      <c r="H76" s="24"/>
      <c r="I76" s="24"/>
      <c r="J76" s="24"/>
      <c r="K76" s="89"/>
      <c r="L76" s="91"/>
      <c r="M76" s="24"/>
      <c r="N76" s="92"/>
      <c r="O76" s="87"/>
      <c r="P76" s="93"/>
      <c r="Q76" s="24"/>
      <c r="R76" s="92"/>
      <c r="S76" s="92"/>
      <c r="T76" s="92"/>
      <c r="U76" s="92"/>
      <c r="V76" s="24"/>
      <c r="W76" s="86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2.75">
      <c r="A77" s="86"/>
      <c r="B77" s="86"/>
      <c r="C77" s="86"/>
      <c r="D77" s="86"/>
      <c r="E77" s="86"/>
      <c r="F77" s="86"/>
      <c r="G77" s="87"/>
      <c r="H77" s="24"/>
      <c r="I77" s="24"/>
      <c r="J77" s="24"/>
      <c r="K77" s="89"/>
      <c r="L77" s="91"/>
      <c r="M77" s="24"/>
      <c r="N77" s="92"/>
      <c r="O77" s="87"/>
      <c r="P77" s="93"/>
      <c r="Q77" s="24"/>
      <c r="R77" s="92"/>
      <c r="S77" s="92"/>
      <c r="T77" s="92"/>
      <c r="U77" s="92"/>
      <c r="V77" s="24"/>
      <c r="W77" s="86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2.75">
      <c r="A78" s="86"/>
      <c r="B78" s="86"/>
      <c r="C78" s="86"/>
      <c r="D78" s="86"/>
      <c r="E78" s="86"/>
      <c r="F78" s="86"/>
      <c r="G78" s="87"/>
      <c r="H78" s="24"/>
      <c r="I78" s="24"/>
      <c r="J78" s="24"/>
      <c r="K78" s="89"/>
      <c r="L78" s="91"/>
      <c r="M78" s="24"/>
      <c r="N78" s="92"/>
      <c r="O78" s="87"/>
      <c r="P78" s="93"/>
      <c r="Q78" s="24"/>
      <c r="R78" s="92"/>
      <c r="S78" s="92"/>
      <c r="T78" s="92"/>
      <c r="U78" s="92"/>
      <c r="V78" s="87"/>
      <c r="W78" s="86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2.75">
      <c r="A79" s="86"/>
      <c r="B79" s="86"/>
      <c r="C79" s="86"/>
      <c r="D79" s="86"/>
      <c r="E79" s="86"/>
      <c r="F79" s="86"/>
      <c r="G79" s="87"/>
      <c r="H79" s="24"/>
      <c r="I79" s="24"/>
      <c r="J79" s="24"/>
      <c r="K79" s="89"/>
      <c r="L79" s="91"/>
      <c r="M79" s="24"/>
      <c r="N79" s="92"/>
      <c r="O79" s="87"/>
      <c r="P79" s="93"/>
      <c r="Q79" s="24"/>
      <c r="R79" s="92"/>
      <c r="S79" s="92"/>
      <c r="T79" s="92"/>
      <c r="U79" s="92"/>
      <c r="V79" s="87"/>
      <c r="W79" s="86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2.75">
      <c r="A80" s="86"/>
      <c r="B80" s="86"/>
      <c r="C80" s="86"/>
      <c r="D80" s="86"/>
      <c r="E80" s="86"/>
      <c r="F80" s="86"/>
      <c r="G80" s="87"/>
      <c r="H80" s="24"/>
      <c r="I80" s="24"/>
      <c r="J80" s="24"/>
      <c r="K80" s="89"/>
      <c r="L80" s="91"/>
      <c r="M80" s="24"/>
      <c r="N80" s="92"/>
      <c r="O80" s="87"/>
      <c r="P80" s="93"/>
      <c r="Q80" s="24"/>
      <c r="R80" s="92"/>
      <c r="S80" s="92"/>
      <c r="T80" s="92"/>
      <c r="U80" s="92"/>
      <c r="V80" s="87"/>
      <c r="W80" s="86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2.75">
      <c r="A81" s="86"/>
      <c r="B81" s="86"/>
      <c r="C81" s="86"/>
      <c r="D81" s="86"/>
      <c r="E81" s="86"/>
      <c r="F81" s="86"/>
      <c r="G81" s="87"/>
      <c r="H81" s="24"/>
      <c r="I81" s="24"/>
      <c r="J81" s="24"/>
      <c r="K81" s="89"/>
      <c r="L81" s="91"/>
      <c r="M81" s="24"/>
      <c r="N81" s="92"/>
      <c r="O81" s="24"/>
      <c r="P81" s="93"/>
      <c r="Q81" s="24"/>
      <c r="R81" s="92"/>
      <c r="S81" s="92"/>
      <c r="T81" s="92"/>
      <c r="U81" s="92"/>
      <c r="V81" s="87"/>
      <c r="W81" s="86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2.75">
      <c r="A82" s="87"/>
      <c r="B82" s="87"/>
      <c r="C82" s="87"/>
      <c r="D82" s="87"/>
      <c r="E82" s="87"/>
      <c r="F82" s="86"/>
      <c r="G82" s="87"/>
      <c r="H82" s="24"/>
      <c r="I82" s="86"/>
      <c r="J82" s="24"/>
      <c r="K82" s="89"/>
      <c r="L82" s="91"/>
      <c r="M82" s="24"/>
      <c r="N82" s="92"/>
      <c r="O82" s="24"/>
      <c r="P82" s="93"/>
      <c r="Q82" s="24"/>
      <c r="R82" s="92"/>
      <c r="S82" s="92"/>
      <c r="T82" s="92"/>
      <c r="U82" s="92"/>
      <c r="V82" s="87"/>
      <c r="W82" s="86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4" ht="12.75">
      <c r="A83" s="87"/>
      <c r="B83" s="87"/>
      <c r="C83" s="87"/>
      <c r="D83" s="87"/>
      <c r="E83" s="87"/>
      <c r="F83" s="86"/>
      <c r="G83" s="87"/>
      <c r="H83" s="24"/>
      <c r="I83" s="24"/>
      <c r="J83" s="24"/>
      <c r="K83" s="89"/>
      <c r="L83" s="91"/>
      <c r="M83" s="24"/>
      <c r="N83" s="92"/>
      <c r="O83" s="24"/>
      <c r="P83" s="93"/>
      <c r="Q83" s="24"/>
      <c r="R83" s="24"/>
      <c r="S83" s="24"/>
      <c r="T83" s="24"/>
      <c r="U83" s="24"/>
      <c r="V83" s="24"/>
      <c r="W83" s="86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2" ht="12.75">
      <c r="A84" s="87"/>
      <c r="B84" s="87"/>
      <c r="C84" s="87"/>
      <c r="D84" s="87"/>
      <c r="E84" s="87"/>
      <c r="F84" s="86"/>
      <c r="G84" s="87"/>
      <c r="H84" s="87"/>
      <c r="I84" s="87"/>
      <c r="J84" s="87"/>
      <c r="K84" s="89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6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87"/>
      <c r="B85" s="87"/>
      <c r="C85" s="87"/>
      <c r="D85" s="87"/>
      <c r="E85" s="87"/>
      <c r="F85" s="86"/>
      <c r="G85" s="87"/>
      <c r="H85" s="87"/>
      <c r="I85" s="87"/>
      <c r="J85" s="87"/>
      <c r="K85" s="89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6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8"/>
      <c r="B86" s="8"/>
      <c r="C86" s="8"/>
      <c r="D86" s="8"/>
      <c r="E86" s="8"/>
      <c r="F86" s="8"/>
      <c r="G86" s="8"/>
      <c r="H86" s="8"/>
      <c r="I86" s="8"/>
      <c r="J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8"/>
      <c r="B87" s="8"/>
      <c r="C87" s="8"/>
      <c r="D87" s="8"/>
      <c r="E87" s="8"/>
      <c r="F87" s="8"/>
      <c r="G87" s="8"/>
      <c r="H87" s="8"/>
      <c r="I87" s="8"/>
      <c r="J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8"/>
      <c r="B88" s="8"/>
      <c r="C88" s="8"/>
      <c r="D88" s="8"/>
      <c r="E88" s="8"/>
      <c r="F88" s="8"/>
      <c r="G88" s="8"/>
      <c r="H88" s="8"/>
      <c r="I88" s="8"/>
      <c r="J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8"/>
      <c r="B89" s="12"/>
      <c r="C89" s="12"/>
      <c r="D89" s="12"/>
      <c r="E89" s="12"/>
      <c r="F89" s="12"/>
      <c r="G89" s="12"/>
      <c r="H89" s="12"/>
      <c r="I89" s="12"/>
      <c r="J89" s="12"/>
      <c r="K89" s="83"/>
      <c r="L89" s="12"/>
      <c r="M89" s="12"/>
      <c r="N89" s="12"/>
      <c r="O89" s="12"/>
      <c r="P89" s="12"/>
      <c r="Q89" s="12"/>
      <c r="R89" s="8"/>
      <c r="S89" s="8"/>
      <c r="T89" s="8"/>
      <c r="U89" s="8"/>
      <c r="V89" s="8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8"/>
      <c r="B90" s="12"/>
      <c r="C90" s="12"/>
      <c r="D90" s="12"/>
      <c r="E90" s="12"/>
      <c r="F90" s="12"/>
      <c r="G90" s="12"/>
      <c r="H90" s="12"/>
      <c r="I90" s="12"/>
      <c r="J90" s="12"/>
      <c r="K90" s="83"/>
      <c r="L90" s="12"/>
      <c r="M90" s="12"/>
      <c r="N90" s="12"/>
      <c r="O90" s="12"/>
      <c r="P90" s="12"/>
      <c r="Q90" s="12"/>
      <c r="R90" s="8"/>
      <c r="S90" s="8"/>
      <c r="T90" s="8"/>
      <c r="U90" s="8"/>
      <c r="V90" s="8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8"/>
      <c r="B91" s="12"/>
      <c r="C91" s="12"/>
      <c r="D91" s="12"/>
      <c r="E91" s="12"/>
      <c r="F91" s="12"/>
      <c r="G91" s="12"/>
      <c r="H91" s="12"/>
      <c r="I91" s="12"/>
      <c r="J91" s="12"/>
      <c r="K91" s="83"/>
      <c r="L91" s="12"/>
      <c r="M91" s="12"/>
      <c r="N91" s="12"/>
      <c r="O91" s="12"/>
      <c r="P91" s="12"/>
      <c r="Q91" s="12"/>
      <c r="R91" s="8"/>
      <c r="S91" s="8"/>
      <c r="T91" s="8"/>
      <c r="U91" s="8"/>
      <c r="V91" s="8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>
      <c r="A92" s="8"/>
      <c r="B92" s="12"/>
      <c r="C92" s="12"/>
      <c r="D92" s="12"/>
      <c r="E92" s="12"/>
      <c r="F92" s="12"/>
      <c r="G92" s="12"/>
      <c r="H92" s="12"/>
      <c r="I92" s="12"/>
      <c r="J92" s="12"/>
      <c r="K92" s="83"/>
      <c r="L92" s="12"/>
      <c r="M92" s="12"/>
      <c r="N92" s="12"/>
      <c r="O92" s="12"/>
      <c r="P92" s="12"/>
      <c r="Q92" s="12"/>
      <c r="R92" s="8"/>
      <c r="S92" s="8"/>
      <c r="T92" s="8"/>
      <c r="U92" s="8"/>
      <c r="V92" s="8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>
      <c r="A93" s="8"/>
      <c r="B93" s="12"/>
      <c r="C93" s="12"/>
      <c r="D93" s="12"/>
      <c r="E93" s="12"/>
      <c r="F93" s="12"/>
      <c r="G93" s="12"/>
      <c r="H93" s="12"/>
      <c r="I93" s="12"/>
      <c r="J93" s="12"/>
      <c r="K93" s="83"/>
      <c r="L93" s="12"/>
      <c r="M93" s="12"/>
      <c r="N93" s="12"/>
      <c r="O93" s="12"/>
      <c r="P93" s="12"/>
      <c r="Q93" s="12"/>
      <c r="R93" s="8"/>
      <c r="S93" s="8"/>
      <c r="T93" s="8"/>
      <c r="U93" s="8"/>
      <c r="V93" s="8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>
      <c r="A94" s="8"/>
      <c r="B94" s="12"/>
      <c r="C94" s="12"/>
      <c r="D94" s="12"/>
      <c r="E94" s="12"/>
      <c r="F94" s="12"/>
      <c r="G94" s="12"/>
      <c r="H94" s="94"/>
      <c r="I94" s="12"/>
      <c r="J94" s="14"/>
      <c r="K94" s="83"/>
      <c r="L94" s="84"/>
      <c r="M94" s="12"/>
      <c r="N94" s="12"/>
      <c r="O94" s="12"/>
      <c r="P94" s="12"/>
      <c r="Q94" s="12"/>
      <c r="R94" s="8"/>
      <c r="S94" s="8"/>
      <c r="T94" s="8"/>
      <c r="U94" s="8"/>
      <c r="V94" s="8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>
      <c r="A95" s="8"/>
      <c r="B95" s="12"/>
      <c r="C95" s="12"/>
      <c r="D95" s="12"/>
      <c r="E95" s="12"/>
      <c r="F95" s="12"/>
      <c r="G95" s="12"/>
      <c r="H95" s="94"/>
      <c r="I95" s="12"/>
      <c r="J95" s="14"/>
      <c r="K95" s="83"/>
      <c r="L95" s="84"/>
      <c r="M95" s="14"/>
      <c r="N95" s="85"/>
      <c r="O95" s="12"/>
      <c r="P95" s="12"/>
      <c r="Q95" s="12"/>
      <c r="R95" s="8"/>
      <c r="S95" s="8"/>
      <c r="T95" s="8"/>
      <c r="U95" s="8"/>
      <c r="V95" s="8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>
      <c r="A96" s="8"/>
      <c r="B96" s="12"/>
      <c r="C96" s="12"/>
      <c r="D96" s="12"/>
      <c r="E96" s="12"/>
      <c r="F96" s="12"/>
      <c r="G96" s="12"/>
      <c r="H96" s="94"/>
      <c r="I96" s="12"/>
      <c r="J96" s="14"/>
      <c r="K96" s="83"/>
      <c r="L96" s="84"/>
      <c r="M96" s="14"/>
      <c r="N96" s="85"/>
      <c r="O96" s="12"/>
      <c r="P96" s="12"/>
      <c r="Q96" s="12"/>
      <c r="R96" s="8"/>
      <c r="S96" s="8"/>
      <c r="T96" s="8"/>
      <c r="U96" s="8"/>
      <c r="V96" s="8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>
      <c r="A97" s="8"/>
      <c r="B97" s="12"/>
      <c r="C97" s="12"/>
      <c r="D97" s="12"/>
      <c r="E97" s="12"/>
      <c r="F97" s="12"/>
      <c r="G97" s="12"/>
      <c r="H97" s="94"/>
      <c r="I97" s="12"/>
      <c r="J97" s="14"/>
      <c r="K97" s="83"/>
      <c r="L97" s="84"/>
      <c r="M97" s="14"/>
      <c r="N97" s="85"/>
      <c r="O97" s="12"/>
      <c r="P97" s="12"/>
      <c r="Q97" s="12"/>
      <c r="R97" s="8"/>
      <c r="S97" s="8"/>
      <c r="T97" s="8"/>
      <c r="U97" s="8"/>
      <c r="V97" s="8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8"/>
      <c r="B98" s="12"/>
      <c r="C98" s="12"/>
      <c r="D98" s="12"/>
      <c r="E98" s="12"/>
      <c r="F98" s="12"/>
      <c r="G98" s="12"/>
      <c r="H98" s="94"/>
      <c r="I98" s="12"/>
      <c r="J98" s="14"/>
      <c r="K98" s="83"/>
      <c r="L98" s="84"/>
      <c r="M98" s="14"/>
      <c r="N98" s="85"/>
      <c r="O98" s="12"/>
      <c r="P98" s="12"/>
      <c r="Q98" s="12"/>
      <c r="R98" s="8"/>
      <c r="S98" s="8"/>
      <c r="T98" s="8"/>
      <c r="U98" s="8"/>
      <c r="V98" s="8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8"/>
      <c r="B99" s="12"/>
      <c r="C99" s="12"/>
      <c r="D99" s="12"/>
      <c r="E99" s="12"/>
      <c r="F99" s="12"/>
      <c r="G99" s="12"/>
      <c r="H99" s="94"/>
      <c r="I99" s="12"/>
      <c r="J99" s="14"/>
      <c r="K99" s="83"/>
      <c r="L99" s="84"/>
      <c r="M99" s="14"/>
      <c r="N99" s="85"/>
      <c r="O99" s="12"/>
      <c r="P99" s="12"/>
      <c r="Q99" s="12"/>
      <c r="R99" s="8"/>
      <c r="S99" s="8"/>
      <c r="T99" s="8"/>
      <c r="U99" s="8"/>
      <c r="V99" s="8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>
      <c r="A100" s="8"/>
      <c r="B100" s="12"/>
      <c r="C100" s="12"/>
      <c r="D100" s="12"/>
      <c r="E100" s="12"/>
      <c r="F100" s="12"/>
      <c r="G100" s="12"/>
      <c r="H100" s="94"/>
      <c r="I100" s="12"/>
      <c r="J100" s="14"/>
      <c r="K100" s="83"/>
      <c r="L100" s="84"/>
      <c r="M100" s="14"/>
      <c r="N100" s="85"/>
      <c r="O100" s="12"/>
      <c r="P100" s="12"/>
      <c r="Q100" s="12"/>
      <c r="R100" s="8"/>
      <c r="S100" s="8"/>
      <c r="T100" s="8"/>
      <c r="U100" s="8"/>
      <c r="V100" s="8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>
      <c r="A101" s="8"/>
      <c r="B101" s="12"/>
      <c r="C101" s="12"/>
      <c r="D101" s="12"/>
      <c r="E101" s="12"/>
      <c r="F101" s="12"/>
      <c r="G101" s="12"/>
      <c r="H101" s="94"/>
      <c r="I101" s="12"/>
      <c r="J101" s="14"/>
      <c r="K101" s="83"/>
      <c r="L101" s="84"/>
      <c r="M101" s="14"/>
      <c r="N101" s="85"/>
      <c r="O101" s="12"/>
      <c r="P101" s="12"/>
      <c r="Q101" s="12"/>
      <c r="R101" s="8"/>
      <c r="S101" s="8"/>
      <c r="T101" s="8"/>
      <c r="U101" s="8"/>
      <c r="V101" s="8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>
      <c r="A102" s="8"/>
      <c r="B102" s="12"/>
      <c r="C102" s="12"/>
      <c r="D102" s="12"/>
      <c r="E102" s="12"/>
      <c r="F102" s="12"/>
      <c r="G102" s="12"/>
      <c r="H102" s="94"/>
      <c r="I102" s="12"/>
      <c r="J102" s="14"/>
      <c r="K102" s="83"/>
      <c r="L102" s="84"/>
      <c r="M102" s="14"/>
      <c r="N102" s="85"/>
      <c r="O102" s="12"/>
      <c r="P102" s="12"/>
      <c r="Q102" s="12"/>
      <c r="R102" s="8"/>
      <c r="S102" s="8"/>
      <c r="T102" s="8"/>
      <c r="U102" s="8"/>
      <c r="V102" s="8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>
      <c r="A103" s="8"/>
      <c r="B103" s="12"/>
      <c r="C103" s="12"/>
      <c r="D103" s="12"/>
      <c r="E103" s="12"/>
      <c r="F103" s="12"/>
      <c r="G103" s="12"/>
      <c r="H103" s="94"/>
      <c r="I103" s="12"/>
      <c r="J103" s="14"/>
      <c r="K103" s="83"/>
      <c r="L103" s="84"/>
      <c r="M103" s="14"/>
      <c r="N103" s="85"/>
      <c r="O103" s="12"/>
      <c r="P103" s="12"/>
      <c r="Q103" s="12"/>
      <c r="R103" s="8"/>
      <c r="S103" s="8"/>
      <c r="T103" s="8"/>
      <c r="U103" s="8"/>
      <c r="V103" s="8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>
      <c r="A104" s="8"/>
      <c r="B104" s="12"/>
      <c r="C104" s="12"/>
      <c r="D104" s="12"/>
      <c r="E104" s="12"/>
      <c r="F104" s="12"/>
      <c r="G104" s="12"/>
      <c r="H104" s="94"/>
      <c r="I104" s="12"/>
      <c r="J104" s="14"/>
      <c r="K104" s="83"/>
      <c r="L104" s="84"/>
      <c r="M104" s="14"/>
      <c r="N104" s="85"/>
      <c r="O104" s="12"/>
      <c r="P104" s="12"/>
      <c r="Q104" s="12"/>
      <c r="R104" s="8"/>
      <c r="S104" s="8"/>
      <c r="T104" s="8"/>
      <c r="U104" s="8"/>
      <c r="V104" s="8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>
      <c r="A105" s="8"/>
      <c r="B105" s="12"/>
      <c r="C105" s="12"/>
      <c r="D105" s="12"/>
      <c r="E105" s="12"/>
      <c r="F105" s="12"/>
      <c r="G105" s="12"/>
      <c r="H105" s="94"/>
      <c r="I105" s="12"/>
      <c r="J105" s="14"/>
      <c r="K105" s="83"/>
      <c r="L105" s="84"/>
      <c r="M105" s="14"/>
      <c r="N105" s="85"/>
      <c r="O105" s="12"/>
      <c r="P105" s="12"/>
      <c r="Q105" s="12"/>
      <c r="R105" s="8"/>
      <c r="S105" s="8"/>
      <c r="T105" s="8"/>
      <c r="U105" s="8"/>
      <c r="V105" s="8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>
      <c r="A106" s="8"/>
      <c r="B106" s="12"/>
      <c r="C106" s="12"/>
      <c r="D106" s="12"/>
      <c r="E106" s="12"/>
      <c r="F106" s="12"/>
      <c r="G106" s="12"/>
      <c r="H106" s="94"/>
      <c r="I106" s="12"/>
      <c r="J106" s="14"/>
      <c r="K106" s="83"/>
      <c r="L106" s="84"/>
      <c r="M106" s="14"/>
      <c r="N106" s="85"/>
      <c r="O106" s="12"/>
      <c r="P106" s="12"/>
      <c r="Q106" s="12"/>
      <c r="R106" s="8"/>
      <c r="S106" s="8"/>
      <c r="T106" s="8"/>
      <c r="U106" s="8"/>
      <c r="V106" s="8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>
      <c r="A107" s="8"/>
      <c r="B107" s="12"/>
      <c r="C107" s="12"/>
      <c r="D107" s="12"/>
      <c r="E107" s="12"/>
      <c r="F107" s="12"/>
      <c r="G107" s="12"/>
      <c r="H107" s="94"/>
      <c r="I107" s="12"/>
      <c r="J107" s="14"/>
      <c r="K107" s="83"/>
      <c r="L107" s="84"/>
      <c r="M107" s="14"/>
      <c r="N107" s="85"/>
      <c r="O107" s="12"/>
      <c r="P107" s="12"/>
      <c r="Q107" s="12"/>
      <c r="R107" s="8"/>
      <c r="S107" s="8"/>
      <c r="T107" s="8"/>
      <c r="U107" s="8"/>
      <c r="V107" s="8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>
      <c r="A108" s="8"/>
      <c r="B108" s="12"/>
      <c r="C108" s="82"/>
      <c r="D108" s="82"/>
      <c r="E108" s="12"/>
      <c r="F108" s="12"/>
      <c r="G108" s="12"/>
      <c r="H108" s="94"/>
      <c r="I108" s="12"/>
      <c r="J108" s="14"/>
      <c r="K108" s="83"/>
      <c r="L108" s="84"/>
      <c r="M108" s="14"/>
      <c r="N108" s="85"/>
      <c r="O108" s="12"/>
      <c r="P108" s="12"/>
      <c r="Q108" s="12"/>
      <c r="R108" s="8"/>
      <c r="S108" s="8"/>
      <c r="T108" s="8"/>
      <c r="U108" s="8"/>
      <c r="V108" s="8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>
      <c r="A109" s="8"/>
      <c r="B109" s="12"/>
      <c r="C109" s="12"/>
      <c r="D109" s="12"/>
      <c r="E109" s="12"/>
      <c r="F109" s="12"/>
      <c r="G109" s="12"/>
      <c r="H109" s="94"/>
      <c r="I109" s="12"/>
      <c r="J109" s="14"/>
      <c r="K109" s="83"/>
      <c r="L109" s="84"/>
      <c r="M109" s="14"/>
      <c r="N109" s="85"/>
      <c r="O109" s="12"/>
      <c r="P109" s="12"/>
      <c r="Q109" s="12"/>
      <c r="R109" s="8"/>
      <c r="S109" s="8"/>
      <c r="T109" s="8"/>
      <c r="U109" s="8"/>
      <c r="V109" s="8"/>
      <c r="W109" s="8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>
      <c r="A110" s="8"/>
      <c r="B110" s="12"/>
      <c r="C110" s="12"/>
      <c r="D110" s="12"/>
      <c r="E110" s="12"/>
      <c r="F110" s="12"/>
      <c r="G110" s="12"/>
      <c r="H110" s="94"/>
      <c r="I110" s="12"/>
      <c r="J110" s="14"/>
      <c r="K110" s="83"/>
      <c r="L110" s="84"/>
      <c r="M110" s="12"/>
      <c r="N110" s="12"/>
      <c r="O110" s="12"/>
      <c r="P110" s="12"/>
      <c r="Q110" s="12"/>
      <c r="R110" s="8"/>
      <c r="S110" s="8"/>
      <c r="T110" s="8"/>
      <c r="U110" s="8"/>
      <c r="V110" s="8"/>
      <c r="W110" s="8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>
      <c r="A111" s="8"/>
      <c r="B111" s="12"/>
      <c r="C111" s="12"/>
      <c r="D111" s="12"/>
      <c r="E111" s="12"/>
      <c r="F111" s="12"/>
      <c r="G111" s="12"/>
      <c r="H111" s="12"/>
      <c r="I111" s="12"/>
      <c r="J111" s="12"/>
      <c r="K111" s="83"/>
      <c r="L111" s="12"/>
      <c r="M111" s="12"/>
      <c r="N111" s="12"/>
      <c r="O111" s="12"/>
      <c r="P111" s="12"/>
      <c r="Q111" s="12"/>
      <c r="R111" s="8"/>
      <c r="S111" s="8"/>
      <c r="T111" s="8"/>
      <c r="U111" s="8"/>
      <c r="V111" s="8"/>
      <c r="W111" s="8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>
      <c r="A112" s="8"/>
      <c r="B112" s="12"/>
      <c r="C112" s="12"/>
      <c r="D112" s="12"/>
      <c r="E112" s="12"/>
      <c r="F112" s="12"/>
      <c r="G112" s="12"/>
      <c r="H112" s="94"/>
      <c r="I112" s="12"/>
      <c r="J112" s="14"/>
      <c r="K112" s="83"/>
      <c r="L112" s="84"/>
      <c r="M112" s="12"/>
      <c r="N112" s="85"/>
      <c r="O112" s="82"/>
      <c r="P112" s="82"/>
      <c r="Q112" s="82"/>
      <c r="R112" s="1"/>
      <c r="S112" s="1"/>
      <c r="T112" s="1"/>
      <c r="U112" s="1"/>
      <c r="V112" s="8"/>
      <c r="W112" s="8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>
      <c r="A113" s="1"/>
      <c r="B113" s="82"/>
      <c r="C113" s="82"/>
      <c r="D113" s="82"/>
      <c r="E113" s="82"/>
      <c r="F113" s="12"/>
      <c r="G113" s="12"/>
      <c r="H113" s="94"/>
      <c r="I113" s="12"/>
      <c r="J113" s="14"/>
      <c r="K113" s="83"/>
      <c r="L113" s="84"/>
      <c r="M113" s="14"/>
      <c r="N113" s="85"/>
      <c r="O113" s="82"/>
      <c r="P113" s="82"/>
      <c r="Q113" s="82"/>
      <c r="R113" s="1"/>
      <c r="S113" s="1"/>
      <c r="T113" s="1"/>
      <c r="U113" s="1"/>
      <c r="V113" s="8"/>
      <c r="W113" s="8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>
      <c r="A114" s="1"/>
      <c r="B114" s="82"/>
      <c r="C114" s="82"/>
      <c r="D114" s="82"/>
      <c r="E114" s="82"/>
      <c r="F114" s="12"/>
      <c r="G114" s="12"/>
      <c r="H114" s="94"/>
      <c r="I114" s="12"/>
      <c r="J114" s="14"/>
      <c r="K114" s="83"/>
      <c r="L114" s="84"/>
      <c r="M114" s="14"/>
      <c r="N114" s="85"/>
      <c r="O114" s="82"/>
      <c r="P114" s="82"/>
      <c r="Q114" s="82"/>
      <c r="R114" s="1"/>
      <c r="S114" s="1"/>
      <c r="T114" s="1"/>
      <c r="U114" s="1"/>
      <c r="V114" s="8"/>
      <c r="W114" s="8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>
      <c r="A115" s="1"/>
      <c r="B115" s="82"/>
      <c r="C115" s="82"/>
      <c r="D115" s="82"/>
      <c r="E115" s="82"/>
      <c r="F115" s="12"/>
      <c r="G115" s="12"/>
      <c r="H115" s="94"/>
      <c r="I115" s="12"/>
      <c r="J115" s="14"/>
      <c r="K115" s="83"/>
      <c r="L115" s="84"/>
      <c r="M115" s="14"/>
      <c r="N115" s="85"/>
      <c r="O115" s="82"/>
      <c r="P115" s="82"/>
      <c r="Q115" s="82"/>
      <c r="R115" s="1"/>
      <c r="S115" s="1"/>
      <c r="T115" s="1"/>
      <c r="U115" s="1"/>
      <c r="V115" s="1"/>
      <c r="W115" s="8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>
      <c r="A116" s="1"/>
      <c r="B116" s="82"/>
      <c r="C116" s="82"/>
      <c r="D116" s="82"/>
      <c r="E116" s="82"/>
      <c r="F116" s="12"/>
      <c r="G116" s="12"/>
      <c r="H116" s="94"/>
      <c r="I116" s="12"/>
      <c r="J116" s="14"/>
      <c r="K116" s="83"/>
      <c r="L116" s="84"/>
      <c r="M116" s="14"/>
      <c r="N116" s="85"/>
      <c r="O116" s="82"/>
      <c r="P116" s="82"/>
      <c r="Q116" s="82"/>
      <c r="R116" s="1"/>
      <c r="S116" s="1"/>
      <c r="T116" s="1"/>
      <c r="U116" s="1"/>
      <c r="V116" s="1"/>
      <c r="W116" s="8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>
      <c r="A117" s="1"/>
      <c r="B117" s="82"/>
      <c r="C117" s="82"/>
      <c r="D117" s="82"/>
      <c r="E117" s="82"/>
      <c r="F117" s="82"/>
      <c r="G117" s="12"/>
      <c r="H117" s="94"/>
      <c r="I117" s="12"/>
      <c r="J117" s="14"/>
      <c r="K117" s="83"/>
      <c r="L117" s="84"/>
      <c r="M117" s="14"/>
      <c r="N117" s="85"/>
      <c r="O117" s="82"/>
      <c r="P117" s="82"/>
      <c r="Q117" s="82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>
      <c r="A118" s="1"/>
      <c r="B118" s="82"/>
      <c r="C118" s="82"/>
      <c r="D118" s="82"/>
      <c r="E118" s="82"/>
      <c r="F118" s="82"/>
      <c r="G118" s="12"/>
      <c r="H118" s="94"/>
      <c r="I118" s="12"/>
      <c r="J118" s="14"/>
      <c r="K118" s="83"/>
      <c r="L118" s="84"/>
      <c r="M118" s="14"/>
      <c r="N118" s="85"/>
      <c r="O118" s="82"/>
      <c r="P118" s="82"/>
      <c r="Q118" s="82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>
      <c r="A119" s="1"/>
      <c r="B119" s="82"/>
      <c r="C119" s="82"/>
      <c r="D119" s="82"/>
      <c r="E119" s="82"/>
      <c r="F119" s="82"/>
      <c r="G119" s="12"/>
      <c r="H119" s="94"/>
      <c r="I119" s="12"/>
      <c r="J119" s="14"/>
      <c r="K119" s="83"/>
      <c r="L119" s="84"/>
      <c r="M119" s="14"/>
      <c r="N119" s="85"/>
      <c r="O119" s="82"/>
      <c r="P119" s="82"/>
      <c r="Q119" s="82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>
      <c r="A120" s="1"/>
      <c r="B120" s="82"/>
      <c r="C120" s="82"/>
      <c r="D120" s="82"/>
      <c r="E120" s="82"/>
      <c r="F120" s="82"/>
      <c r="G120" s="12"/>
      <c r="H120" s="94"/>
      <c r="I120" s="12"/>
      <c r="J120" s="14"/>
      <c r="K120" s="83"/>
      <c r="L120" s="84"/>
      <c r="M120" s="14"/>
      <c r="N120" s="85"/>
      <c r="O120" s="82"/>
      <c r="P120" s="82"/>
      <c r="Q120" s="82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>
      <c r="A121" s="1"/>
      <c r="B121" s="82"/>
      <c r="C121" s="82"/>
      <c r="D121" s="82"/>
      <c r="E121" s="82"/>
      <c r="F121" s="82"/>
      <c r="G121" s="12"/>
      <c r="H121" s="94"/>
      <c r="I121" s="12"/>
      <c r="J121" s="14"/>
      <c r="K121" s="83"/>
      <c r="L121" s="84"/>
      <c r="M121" s="14"/>
      <c r="N121" s="85"/>
      <c r="O121" s="82"/>
      <c r="P121" s="82"/>
      <c r="Q121" s="82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>
      <c r="A122" s="1"/>
      <c r="B122" s="82"/>
      <c r="C122" s="82"/>
      <c r="D122" s="82"/>
      <c r="E122" s="82"/>
      <c r="F122" s="82"/>
      <c r="G122" s="12"/>
      <c r="H122" s="94"/>
      <c r="I122" s="12"/>
      <c r="J122" s="14"/>
      <c r="K122" s="83"/>
      <c r="L122" s="84"/>
      <c r="M122" s="14"/>
      <c r="N122" s="85"/>
      <c r="O122" s="82"/>
      <c r="P122" s="82"/>
      <c r="Q122" s="82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>
      <c r="A123" s="1"/>
      <c r="B123" s="82"/>
      <c r="C123" s="82"/>
      <c r="D123" s="82"/>
      <c r="E123" s="82"/>
      <c r="F123" s="82"/>
      <c r="G123" s="12"/>
      <c r="H123" s="94"/>
      <c r="I123" s="12"/>
      <c r="J123" s="14"/>
      <c r="K123" s="83"/>
      <c r="L123" s="84"/>
      <c r="M123" s="14"/>
      <c r="N123" s="85"/>
      <c r="O123" s="82"/>
      <c r="P123" s="82"/>
      <c r="Q123" s="82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>
      <c r="A124" s="1"/>
      <c r="B124" s="82"/>
      <c r="C124" s="82"/>
      <c r="D124" s="82"/>
      <c r="E124" s="82"/>
      <c r="F124" s="82"/>
      <c r="G124" s="12"/>
      <c r="H124" s="94"/>
      <c r="I124" s="12"/>
      <c r="J124" s="14"/>
      <c r="K124" s="83"/>
      <c r="L124" s="84"/>
      <c r="M124" s="14"/>
      <c r="N124" s="85"/>
      <c r="O124" s="82"/>
      <c r="P124" s="82"/>
      <c r="Q124" s="82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>
      <c r="A125" s="1"/>
      <c r="B125" s="82"/>
      <c r="C125" s="82"/>
      <c r="D125" s="82"/>
      <c r="E125" s="82"/>
      <c r="F125" s="82"/>
      <c r="G125" s="12"/>
      <c r="H125" s="94"/>
      <c r="I125" s="12"/>
      <c r="J125" s="14"/>
      <c r="K125" s="83"/>
      <c r="L125" s="84"/>
      <c r="M125" s="14"/>
      <c r="N125" s="85"/>
      <c r="O125" s="82"/>
      <c r="P125" s="82"/>
      <c r="Q125" s="82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>
      <c r="A126" s="1"/>
      <c r="B126" s="82"/>
      <c r="C126" s="82"/>
      <c r="D126" s="82"/>
      <c r="E126" s="82"/>
      <c r="F126" s="82"/>
      <c r="G126" s="12"/>
      <c r="H126" s="94"/>
      <c r="I126" s="12"/>
      <c r="J126" s="14"/>
      <c r="K126" s="83"/>
      <c r="L126" s="84"/>
      <c r="M126" s="14"/>
      <c r="N126" s="85"/>
      <c r="O126" s="82"/>
      <c r="P126" s="82"/>
      <c r="Q126" s="82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>
      <c r="A127" s="1"/>
      <c r="B127" s="82"/>
      <c r="C127" s="82"/>
      <c r="D127" s="82"/>
      <c r="E127" s="82"/>
      <c r="F127" s="82"/>
      <c r="G127" s="12"/>
      <c r="H127" s="94"/>
      <c r="I127" s="12"/>
      <c r="J127" s="14"/>
      <c r="K127" s="83"/>
      <c r="L127" s="84"/>
      <c r="M127" s="14"/>
      <c r="N127" s="85"/>
      <c r="O127" s="82"/>
      <c r="P127" s="82"/>
      <c r="Q127" s="82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>
      <c r="A128" s="1"/>
      <c r="B128" s="82"/>
      <c r="C128" s="82"/>
      <c r="D128" s="82"/>
      <c r="E128" s="82"/>
      <c r="F128" s="82"/>
      <c r="G128" s="12"/>
      <c r="H128" s="94"/>
      <c r="I128" s="12"/>
      <c r="J128" s="14"/>
      <c r="K128" s="83"/>
      <c r="L128" s="84"/>
      <c r="M128" s="14"/>
      <c r="N128" s="85"/>
      <c r="O128" s="82"/>
      <c r="P128" s="82"/>
      <c r="Q128" s="82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>
      <c r="A129" s="1"/>
      <c r="B129" s="82"/>
      <c r="C129" s="82"/>
      <c r="D129" s="82"/>
      <c r="E129" s="82"/>
      <c r="F129" s="82"/>
      <c r="G129" s="82"/>
      <c r="H129" s="82"/>
      <c r="I129" s="82"/>
      <c r="J129" s="82"/>
      <c r="K129" s="83"/>
      <c r="L129" s="82"/>
      <c r="M129" s="14"/>
      <c r="N129" s="85"/>
      <c r="O129" s="82"/>
      <c r="P129" s="82"/>
      <c r="Q129" s="82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>
      <c r="A130" s="1"/>
      <c r="B130" s="82"/>
      <c r="C130" s="82"/>
      <c r="D130" s="82"/>
      <c r="E130" s="82"/>
      <c r="F130" s="82"/>
      <c r="G130" s="82"/>
      <c r="H130" s="82"/>
      <c r="I130" s="82"/>
      <c r="J130" s="82"/>
      <c r="K130" s="83"/>
      <c r="L130" s="82"/>
      <c r="M130" s="14"/>
      <c r="N130" s="85"/>
      <c r="O130" s="82"/>
      <c r="P130" s="82"/>
      <c r="Q130" s="82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>
      <c r="A131" s="1"/>
      <c r="B131" s="82"/>
      <c r="C131" s="82"/>
      <c r="D131" s="82"/>
      <c r="E131" s="82"/>
      <c r="F131" s="82"/>
      <c r="G131" s="82"/>
      <c r="H131" s="82"/>
      <c r="I131" s="82"/>
      <c r="J131" s="82"/>
      <c r="K131" s="83"/>
      <c r="L131" s="82"/>
      <c r="M131" s="14"/>
      <c r="N131" s="85"/>
      <c r="O131" s="82"/>
      <c r="P131" s="82"/>
      <c r="Q131" s="82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>
      <c r="A132" s="1"/>
      <c r="B132" s="82"/>
      <c r="C132" s="82"/>
      <c r="D132" s="82"/>
      <c r="E132" s="82"/>
      <c r="F132" s="82"/>
      <c r="G132" s="82"/>
      <c r="H132" s="82"/>
      <c r="I132" s="82"/>
      <c r="J132" s="82"/>
      <c r="K132" s="83"/>
      <c r="L132" s="82"/>
      <c r="M132" s="14"/>
      <c r="N132" s="85"/>
      <c r="O132" s="82"/>
      <c r="P132" s="82"/>
      <c r="Q132" s="82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>
      <c r="A133" s="1"/>
      <c r="B133" s="82"/>
      <c r="C133" s="82"/>
      <c r="D133" s="82"/>
      <c r="E133" s="82"/>
      <c r="F133" s="82"/>
      <c r="G133" s="82"/>
      <c r="H133" s="82"/>
      <c r="I133" s="82"/>
      <c r="J133" s="82"/>
      <c r="K133" s="83"/>
      <c r="L133" s="82"/>
      <c r="M133" s="14"/>
      <c r="N133" s="85"/>
      <c r="O133" s="82"/>
      <c r="P133" s="82"/>
      <c r="Q133" s="82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>
      <c r="A134" s="1"/>
      <c r="B134" s="82"/>
      <c r="C134" s="82"/>
      <c r="D134" s="82"/>
      <c r="E134" s="82"/>
      <c r="F134" s="82"/>
      <c r="G134" s="82"/>
      <c r="H134" s="82"/>
      <c r="I134" s="82"/>
      <c r="J134" s="82"/>
      <c r="K134" s="83"/>
      <c r="L134" s="82"/>
      <c r="M134" s="14"/>
      <c r="N134" s="85"/>
      <c r="O134" s="82"/>
      <c r="P134" s="82"/>
      <c r="Q134" s="82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L135" s="1"/>
      <c r="M135" s="9"/>
      <c r="N135" s="25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6:31" ht="12.75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6:31" ht="12.75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6:31" ht="12.75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6:22" ht="12.75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</sheetData>
  <mergeCells count="17">
    <mergeCell ref="V1:W1"/>
    <mergeCell ref="P3:P4"/>
    <mergeCell ref="G3:G4"/>
    <mergeCell ref="P1:P2"/>
    <mergeCell ref="Q1:Q2"/>
    <mergeCell ref="R1:U1"/>
    <mergeCell ref="I1:L1"/>
    <mergeCell ref="M1:N1"/>
    <mergeCell ref="H1:H2"/>
    <mergeCell ref="G1:G2"/>
    <mergeCell ref="A1:E1"/>
    <mergeCell ref="A2:B2"/>
    <mergeCell ref="B8:B9"/>
    <mergeCell ref="B11:B21"/>
    <mergeCell ref="E11:E21"/>
    <mergeCell ref="E3:E4"/>
    <mergeCell ref="E8:E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Воробьев</cp:lastModifiedBy>
  <dcterms:modified xsi:type="dcterms:W3CDTF">2016-01-13T14:40:47Z</dcterms:modified>
  <cp:category/>
  <cp:version/>
  <cp:contentType/>
  <cp:contentStatus/>
</cp:coreProperties>
</file>