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1" sheetId="1" r:id="rId1"/>
  </sheets>
  <definedNames>
    <definedName name="_xlnm.Print_Area" localSheetId="0">'1'!$A$2:$F$34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8"/>
            <rFont val="Tahoma"/>
            <family val="2"/>
          </rPr>
          <t xml:space="preserve">x=1 при прямотоке 
x=2 при противоотоке </t>
        </r>
        <r>
          <rPr>
            <sz val="8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2"/>
          </rPr>
          <t>Желательно чтобы скорость движения воды находилась в диапазоне 0,25…2,5 м/с.
Если это не так, измените расход в п.7!</t>
        </r>
      </text>
    </comment>
    <comment ref="B24" authorId="0">
      <text>
        <r>
          <rPr>
            <b/>
            <sz val="8"/>
            <rFont val="Tahoma"/>
            <family val="2"/>
          </rPr>
          <t>Режим течения воды по трубам должен быть желательно турбулентным!!!
Re&lt;2300 - ламинарный
2300&lt;Re&lt;10000 - переходный
Re&gt;10000 - турбулентный</t>
        </r>
      </text>
    </comment>
    <comment ref="B35" authorId="0">
      <text>
        <r>
          <rPr>
            <b/>
            <sz val="8"/>
            <rFont val="Tahoma"/>
            <family val="2"/>
          </rPr>
          <t>Ряд условных проходов трубопроводов:
6, 10, 15, 20, 25, 32, 40, 50, 70, 80, 100, 125, 150, 200, 250, 300, 350, 400, 500 мм.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<sst xmlns="http://schemas.openxmlformats.org/spreadsheetml/2006/main" count="118" uniqueCount="95">
  <si>
    <t>Расчет стального водо-водяного
теплообменника типа "труба в трубе"</t>
  </si>
  <si>
    <t>1-е приближение</t>
  </si>
  <si>
    <t>2-е приближение</t>
  </si>
  <si>
    <t>3-е приближение</t>
  </si>
  <si>
    <t>4-е приближение</t>
  </si>
  <si>
    <t>5-е приближение</t>
  </si>
  <si>
    <t>№
п/п</t>
  </si>
  <si>
    <t>Наименования параметров
и переменных</t>
  </si>
  <si>
    <t>Обозна-
чения</t>
  </si>
  <si>
    <r>
      <t xml:space="preserve">Значения для </t>
    </r>
    <r>
      <rPr>
        <b/>
        <u val="single"/>
        <sz val="8"/>
        <color indexed="10"/>
        <rFont val="Arial Black"/>
        <family val="2"/>
      </rPr>
      <t>греющей</t>
    </r>
    <r>
      <rPr>
        <b/>
        <sz val="8"/>
        <color indexed="14"/>
        <rFont val="Arial Black"/>
        <family val="2"/>
      </rPr>
      <t xml:space="preserve"> воды (i=1)</t>
    </r>
  </si>
  <si>
    <r>
      <t xml:space="preserve">Значения для </t>
    </r>
    <r>
      <rPr>
        <b/>
        <u val="single"/>
        <sz val="8"/>
        <color indexed="12"/>
        <rFont val="Arial Black"/>
        <family val="2"/>
      </rPr>
      <t>нагреваемой</t>
    </r>
    <r>
      <rPr>
        <b/>
        <sz val="8"/>
        <color indexed="14"/>
        <rFont val="Arial Black"/>
        <family val="2"/>
      </rPr>
      <t xml:space="preserve"> </t>
    </r>
    <r>
      <rPr>
        <b/>
        <sz val="8"/>
        <color indexed="14"/>
        <rFont val="Arial Black"/>
        <family val="2"/>
      </rPr>
      <t>воды (i=2)</t>
    </r>
  </si>
  <si>
    <t>Ед. изм.</t>
  </si>
  <si>
    <r>
      <t xml:space="preserve">Значения для </t>
    </r>
    <r>
      <rPr>
        <b/>
        <sz val="8"/>
        <color indexed="10"/>
        <rFont val="Arial Black"/>
        <family val="2"/>
      </rPr>
      <t>греющей</t>
    </r>
    <r>
      <rPr>
        <b/>
        <sz val="8"/>
        <color indexed="14"/>
        <rFont val="Arial Black"/>
        <family val="2"/>
      </rPr>
      <t xml:space="preserve"> воды (i=1)</t>
    </r>
  </si>
  <si>
    <r>
      <t xml:space="preserve">Значения для </t>
    </r>
    <r>
      <rPr>
        <b/>
        <sz val="8"/>
        <color indexed="12"/>
        <rFont val="Arial Black"/>
        <family val="2"/>
      </rPr>
      <t>нагреваемой</t>
    </r>
    <r>
      <rPr>
        <b/>
        <sz val="8"/>
        <color indexed="14"/>
        <rFont val="Arial Black"/>
        <family val="2"/>
      </rPr>
      <t xml:space="preserve"> воды (i=2)</t>
    </r>
  </si>
  <si>
    <t>Исходные данные:</t>
  </si>
  <si>
    <t>Направление движения потоков</t>
  </si>
  <si>
    <t>x=</t>
  </si>
  <si>
    <r>
      <t xml:space="preserve">К-т теплопроводности стенки трубы
</t>
    </r>
    <r>
      <rPr>
        <b/>
        <sz val="8"/>
        <color indexed="12"/>
        <rFont val="Arial"/>
        <family val="2"/>
      </rPr>
      <t>(средний в заданном диапазоне температур)</t>
    </r>
  </si>
  <si>
    <r>
      <t>λ</t>
    </r>
    <r>
      <rPr>
        <b/>
        <vertAlign val="subscript"/>
        <sz val="11"/>
        <color indexed="12"/>
        <rFont val="Arial"/>
        <family val="2"/>
      </rPr>
      <t>ст</t>
    </r>
    <r>
      <rPr>
        <b/>
        <sz val="11"/>
        <color indexed="12"/>
        <rFont val="Arial"/>
        <family val="2"/>
      </rPr>
      <t>=</t>
    </r>
  </si>
  <si>
    <t>Вт/(м*К)</t>
  </si>
  <si>
    <t>Наружный диаметр трубы</t>
  </si>
  <si>
    <r>
      <t>D</t>
    </r>
    <r>
      <rPr>
        <b/>
        <vertAlign val="subscript"/>
        <sz val="11"/>
        <color indexed="12"/>
        <rFont val="Arial"/>
        <family val="2"/>
      </rPr>
      <t>i</t>
    </r>
    <r>
      <rPr>
        <b/>
        <sz val="11"/>
        <color indexed="12"/>
        <rFont val="Arial"/>
        <family val="2"/>
      </rPr>
      <t>=</t>
    </r>
  </si>
  <si>
    <t>м</t>
  </si>
  <si>
    <t>Прямоток</t>
  </si>
  <si>
    <t>Внутренний диаметр трубы</t>
  </si>
  <si>
    <r>
      <t>d</t>
    </r>
    <r>
      <rPr>
        <b/>
        <vertAlign val="subscript"/>
        <sz val="11"/>
        <color indexed="12"/>
        <rFont val="Arial"/>
        <family val="2"/>
      </rPr>
      <t>i</t>
    </r>
    <r>
      <rPr>
        <b/>
        <sz val="11"/>
        <color indexed="12"/>
        <rFont val="Arial"/>
        <family val="2"/>
      </rPr>
      <t>=</t>
    </r>
  </si>
  <si>
    <t>Противоток</t>
  </si>
  <si>
    <r>
      <t xml:space="preserve">Теплоемкость воды
</t>
    </r>
    <r>
      <rPr>
        <b/>
        <sz val="8"/>
        <color indexed="12"/>
        <rFont val="Arial Cyr"/>
        <family val="0"/>
      </rPr>
      <t>(средняя в заданном диапазоне температур)</t>
    </r>
  </si>
  <si>
    <r>
      <t>с</t>
    </r>
    <r>
      <rPr>
        <b/>
        <vertAlign val="subscript"/>
        <sz val="11"/>
        <color indexed="12"/>
        <rFont val="Arial"/>
        <family val="2"/>
      </rPr>
      <t>pi</t>
    </r>
    <r>
      <rPr>
        <b/>
        <sz val="11"/>
        <color indexed="12"/>
        <rFont val="Arial"/>
        <family val="2"/>
      </rPr>
      <t>=</t>
    </r>
  </si>
  <si>
    <t>Дж/(кг*К)</t>
  </si>
  <si>
    <t>Абсолютное давление воды</t>
  </si>
  <si>
    <r>
      <t>P</t>
    </r>
    <r>
      <rPr>
        <b/>
        <vertAlign val="subscript"/>
        <sz val="11"/>
        <color indexed="12"/>
        <rFont val="Arial Cyr"/>
        <family val="0"/>
      </rPr>
      <t>i</t>
    </r>
    <r>
      <rPr>
        <b/>
        <sz val="11"/>
        <color indexed="12"/>
        <rFont val="Arial Cyr"/>
        <family val="2"/>
      </rPr>
      <t>=</t>
    </r>
  </si>
  <si>
    <t>Мпа</t>
  </si>
  <si>
    <t>Расход воды</t>
  </si>
  <si>
    <r>
      <t>G</t>
    </r>
    <r>
      <rPr>
        <b/>
        <vertAlign val="subscript"/>
        <sz val="11"/>
        <color indexed="12"/>
        <rFont val="Arial Cyr"/>
        <family val="0"/>
      </rPr>
      <t>i</t>
    </r>
    <r>
      <rPr>
        <b/>
        <sz val="11"/>
        <color indexed="12"/>
        <rFont val="Arial Cyr"/>
        <family val="2"/>
      </rPr>
      <t>=</t>
    </r>
  </si>
  <si>
    <t>кг/с</t>
  </si>
  <si>
    <t>Температура воды на входе</t>
  </si>
  <si>
    <r>
      <t>t</t>
    </r>
    <r>
      <rPr>
        <b/>
        <vertAlign val="subscript"/>
        <sz val="11"/>
        <color indexed="12"/>
        <rFont val="Arial"/>
        <family val="2"/>
      </rPr>
      <t>iвх</t>
    </r>
    <r>
      <rPr>
        <b/>
        <sz val="11"/>
        <color indexed="12"/>
        <rFont val="Arial"/>
        <family val="2"/>
      </rPr>
      <t>=</t>
    </r>
  </si>
  <si>
    <t>°C</t>
  </si>
  <si>
    <t>Температура воды на выходе</t>
  </si>
  <si>
    <r>
      <t>t</t>
    </r>
    <r>
      <rPr>
        <b/>
        <vertAlign val="subscript"/>
        <sz val="11"/>
        <color indexed="12"/>
        <rFont val="Arial"/>
        <family val="2"/>
      </rPr>
      <t>iвых</t>
    </r>
    <r>
      <rPr>
        <b/>
        <sz val="11"/>
        <color indexed="12"/>
        <rFont val="Arial"/>
        <family val="2"/>
      </rPr>
      <t>=</t>
    </r>
  </si>
  <si>
    <t>Результаты расчетов:</t>
  </si>
  <si>
    <t>Максимальный температурный напор</t>
  </si>
  <si>
    <r>
      <t>Δ</t>
    </r>
    <r>
      <rPr>
        <b/>
        <sz val="11"/>
        <rFont val="Arial Cyr"/>
        <family val="0"/>
      </rPr>
      <t>t</t>
    </r>
    <r>
      <rPr>
        <b/>
        <vertAlign val="subscript"/>
        <sz val="11"/>
        <rFont val="Arial Cyr"/>
        <family val="0"/>
      </rPr>
      <t>max</t>
    </r>
    <r>
      <rPr>
        <b/>
        <sz val="11"/>
        <rFont val="Arial Cyr"/>
        <family val="0"/>
      </rPr>
      <t>=</t>
    </r>
  </si>
  <si>
    <t>Минимальный температурный напор</t>
  </si>
  <si>
    <r>
      <t>Δ</t>
    </r>
    <r>
      <rPr>
        <b/>
        <sz val="11"/>
        <rFont val="Arial Cyr"/>
        <family val="0"/>
      </rPr>
      <t>t</t>
    </r>
    <r>
      <rPr>
        <b/>
        <vertAlign val="subscript"/>
        <sz val="11"/>
        <rFont val="Arial Cyr"/>
        <family val="0"/>
      </rPr>
      <t>min</t>
    </r>
    <r>
      <rPr>
        <b/>
        <sz val="11"/>
        <rFont val="Arial Cyr"/>
        <family val="0"/>
      </rPr>
      <t>=</t>
    </r>
  </si>
  <si>
    <t>Средний температурный напор</t>
  </si>
  <si>
    <r>
      <t>Δ</t>
    </r>
    <r>
      <rPr>
        <b/>
        <sz val="11"/>
        <rFont val="Arial Cyr"/>
        <family val="0"/>
      </rPr>
      <t>t</t>
    </r>
    <r>
      <rPr>
        <b/>
        <vertAlign val="subscript"/>
        <sz val="11"/>
        <rFont val="Arial Cyr"/>
        <family val="0"/>
      </rPr>
      <t>ср</t>
    </r>
    <r>
      <rPr>
        <b/>
        <sz val="11"/>
        <rFont val="Arial Cyr"/>
        <family val="0"/>
      </rPr>
      <t>=</t>
    </r>
  </si>
  <si>
    <t>Средняя температура воды</t>
  </si>
  <si>
    <r>
      <t>t</t>
    </r>
    <r>
      <rPr>
        <b/>
        <vertAlign val="subscript"/>
        <sz val="11"/>
        <rFont val="Arial"/>
        <family val="2"/>
      </rPr>
      <t>i</t>
    </r>
    <r>
      <rPr>
        <b/>
        <sz val="11"/>
        <rFont val="Arial"/>
        <family val="2"/>
      </rPr>
      <t>=</t>
    </r>
  </si>
  <si>
    <t>Передаваемая тепловая мощность</t>
  </si>
  <si>
    <t>N=</t>
  </si>
  <si>
    <t>Вт</t>
  </si>
  <si>
    <r>
      <t xml:space="preserve">Плотность воды </t>
    </r>
    <r>
      <rPr>
        <b/>
        <sz val="8"/>
        <rFont val="Arial"/>
        <family val="2"/>
      </rPr>
      <t>(при t</t>
    </r>
    <r>
      <rPr>
        <b/>
        <vertAlign val="subscript"/>
        <sz val="8"/>
        <rFont val="Arial"/>
        <family val="2"/>
      </rPr>
      <t>i</t>
    </r>
    <r>
      <rPr>
        <b/>
        <sz val="8"/>
        <rFont val="Arial"/>
        <family val="2"/>
      </rPr>
      <t>)</t>
    </r>
  </si>
  <si>
    <r>
      <t>r</t>
    </r>
    <r>
      <rPr>
        <b/>
        <vertAlign val="subscript"/>
        <sz val="11"/>
        <rFont val="Arial"/>
        <family val="2"/>
      </rPr>
      <t>i</t>
    </r>
    <r>
      <rPr>
        <b/>
        <sz val="11"/>
        <rFont val="Arial"/>
        <family val="2"/>
      </rPr>
      <t>=</t>
    </r>
  </si>
  <si>
    <r>
      <t>кг/м</t>
    </r>
    <r>
      <rPr>
        <b/>
        <vertAlign val="superscript"/>
        <sz val="11"/>
        <rFont val="Arial"/>
        <family val="2"/>
      </rPr>
      <t>3</t>
    </r>
  </si>
  <si>
    <r>
      <t xml:space="preserve">К-т кинемат. вязкости воды </t>
    </r>
    <r>
      <rPr>
        <b/>
        <sz val="8"/>
        <rFont val="Arial"/>
        <family val="2"/>
      </rPr>
      <t>(при t</t>
    </r>
    <r>
      <rPr>
        <b/>
        <vertAlign val="subscript"/>
        <sz val="8"/>
        <rFont val="Arial"/>
        <family val="2"/>
      </rPr>
      <t>i</t>
    </r>
    <r>
      <rPr>
        <b/>
        <sz val="8"/>
        <rFont val="Arial"/>
        <family val="2"/>
      </rPr>
      <t>)</t>
    </r>
  </si>
  <si>
    <r>
      <t>n</t>
    </r>
    <r>
      <rPr>
        <b/>
        <vertAlign val="subscript"/>
        <sz val="11"/>
        <rFont val="Arial"/>
        <family val="2"/>
      </rPr>
      <t>i</t>
    </r>
    <r>
      <rPr>
        <b/>
        <sz val="11"/>
        <rFont val="Arial Cyr"/>
        <family val="0"/>
      </rPr>
      <t>=</t>
    </r>
  </si>
  <si>
    <r>
      <t>м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/с</t>
    </r>
  </si>
  <si>
    <r>
      <t xml:space="preserve">К-т теплопроводности воды </t>
    </r>
    <r>
      <rPr>
        <b/>
        <sz val="8"/>
        <rFont val="Arial"/>
        <family val="2"/>
      </rPr>
      <t>(при t</t>
    </r>
    <r>
      <rPr>
        <b/>
        <vertAlign val="subscript"/>
        <sz val="8"/>
        <rFont val="Arial"/>
        <family val="2"/>
      </rPr>
      <t>i</t>
    </r>
    <r>
      <rPr>
        <b/>
        <sz val="8"/>
        <rFont val="Arial"/>
        <family val="2"/>
      </rPr>
      <t>)</t>
    </r>
  </si>
  <si>
    <r>
      <t>λ</t>
    </r>
    <r>
      <rPr>
        <b/>
        <vertAlign val="subscript"/>
        <sz val="11"/>
        <rFont val="Arial Cyr"/>
        <family val="0"/>
      </rPr>
      <t>i</t>
    </r>
    <r>
      <rPr>
        <b/>
        <sz val="11"/>
        <rFont val="Arial"/>
        <family val="2"/>
      </rPr>
      <t>=</t>
    </r>
  </si>
  <si>
    <r>
      <t xml:space="preserve">Число Прандтля </t>
    </r>
    <r>
      <rPr>
        <b/>
        <sz val="8"/>
        <rFont val="Arial"/>
        <family val="2"/>
      </rPr>
      <t>(при t</t>
    </r>
    <r>
      <rPr>
        <b/>
        <vertAlign val="subscript"/>
        <sz val="8"/>
        <rFont val="Arial"/>
        <family val="2"/>
      </rPr>
      <t>i</t>
    </r>
    <r>
      <rPr>
        <b/>
        <sz val="8"/>
        <rFont val="Arial"/>
        <family val="2"/>
      </rPr>
      <t>)</t>
    </r>
  </si>
  <si>
    <r>
      <t>Pr</t>
    </r>
    <r>
      <rPr>
        <b/>
        <vertAlign val="subscript"/>
        <sz val="11"/>
        <rFont val="Arial Cyr"/>
        <family val="0"/>
      </rPr>
      <t>i</t>
    </r>
    <r>
      <rPr>
        <b/>
        <sz val="11"/>
        <rFont val="Arial"/>
        <family val="2"/>
      </rPr>
      <t>=</t>
    </r>
  </si>
  <si>
    <t>-</t>
  </si>
  <si>
    <t>Скорость движения воды</t>
  </si>
  <si>
    <r>
      <t>v</t>
    </r>
    <r>
      <rPr>
        <b/>
        <vertAlign val="subscript"/>
        <sz val="11"/>
        <color indexed="10"/>
        <rFont val="Arial Cyr"/>
        <family val="0"/>
      </rPr>
      <t>i</t>
    </r>
    <r>
      <rPr>
        <b/>
        <sz val="11"/>
        <color indexed="10"/>
        <rFont val="Arial"/>
        <family val="2"/>
      </rPr>
      <t>=</t>
    </r>
  </si>
  <si>
    <t>м/c</t>
  </si>
  <si>
    <t>Число Рейнольдса</t>
  </si>
  <si>
    <r>
      <t>Re</t>
    </r>
    <r>
      <rPr>
        <b/>
        <vertAlign val="subscript"/>
        <sz val="11"/>
        <rFont val="Arial Cyr"/>
        <family val="0"/>
      </rPr>
      <t>i</t>
    </r>
    <r>
      <rPr>
        <b/>
        <sz val="11"/>
        <rFont val="Arial Cyr"/>
        <family val="0"/>
      </rPr>
      <t>=</t>
    </r>
  </si>
  <si>
    <r>
      <t xml:space="preserve">Комплекс </t>
    </r>
    <r>
      <rPr>
        <b/>
        <sz val="8"/>
        <rFont val="Arial"/>
        <family val="2"/>
      </rPr>
      <t>(для переходного режима течения)</t>
    </r>
  </si>
  <si>
    <r>
      <t>K</t>
    </r>
    <r>
      <rPr>
        <b/>
        <vertAlign val="subscript"/>
        <sz val="11"/>
        <rFont val="Arial Cyr"/>
        <family val="0"/>
      </rPr>
      <t>0i</t>
    </r>
    <r>
      <rPr>
        <b/>
        <sz val="11"/>
        <rFont val="Arial Cyr"/>
        <family val="0"/>
      </rPr>
      <t>=</t>
    </r>
  </si>
  <si>
    <t xml:space="preserve">Температура стенки внутренней трубы </t>
  </si>
  <si>
    <r>
      <t>t</t>
    </r>
    <r>
      <rPr>
        <b/>
        <vertAlign val="subscript"/>
        <sz val="11"/>
        <rFont val="Arial"/>
        <family val="2"/>
      </rPr>
      <t>стi</t>
    </r>
    <r>
      <rPr>
        <b/>
        <sz val="11"/>
        <rFont val="Arial"/>
        <family val="2"/>
      </rPr>
      <t>=</t>
    </r>
  </si>
  <si>
    <r>
      <t xml:space="preserve">Число Прандтля </t>
    </r>
    <r>
      <rPr>
        <b/>
        <sz val="8"/>
        <rFont val="Arial"/>
        <family val="2"/>
      </rPr>
      <t>(при t</t>
    </r>
    <r>
      <rPr>
        <b/>
        <vertAlign val="subscript"/>
        <sz val="8"/>
        <rFont val="Arial"/>
        <family val="2"/>
      </rPr>
      <t>стi</t>
    </r>
    <r>
      <rPr>
        <b/>
        <sz val="8"/>
        <rFont val="Arial"/>
        <family val="2"/>
      </rPr>
      <t>)</t>
    </r>
  </si>
  <si>
    <r>
      <t>Pr</t>
    </r>
    <r>
      <rPr>
        <b/>
        <vertAlign val="subscript"/>
        <sz val="11"/>
        <rFont val="Arial Cyr"/>
        <family val="0"/>
      </rPr>
      <t>стi</t>
    </r>
    <r>
      <rPr>
        <b/>
        <sz val="11"/>
        <rFont val="Arial"/>
        <family val="2"/>
      </rPr>
      <t>=</t>
    </r>
  </si>
  <si>
    <r>
      <t xml:space="preserve">Критерий Нуссельта </t>
    </r>
    <r>
      <rPr>
        <b/>
        <sz val="8"/>
        <rFont val="Arial"/>
        <family val="2"/>
      </rPr>
      <t>(при Re=2300)</t>
    </r>
  </si>
  <si>
    <r>
      <t>Nu'</t>
    </r>
    <r>
      <rPr>
        <b/>
        <vertAlign val="subscript"/>
        <sz val="11"/>
        <rFont val="Arial Cyr"/>
        <family val="0"/>
      </rPr>
      <t>2</t>
    </r>
    <r>
      <rPr>
        <b/>
        <sz val="11"/>
        <rFont val="Arial Cyr"/>
        <family val="0"/>
      </rPr>
      <t>=</t>
    </r>
  </si>
  <si>
    <r>
      <t xml:space="preserve">Критерий Нуссельта </t>
    </r>
    <r>
      <rPr>
        <b/>
        <sz val="8"/>
        <rFont val="Arial"/>
        <family val="2"/>
      </rPr>
      <t>(при Re=10000)</t>
    </r>
  </si>
  <si>
    <r>
      <t>Nu''</t>
    </r>
    <r>
      <rPr>
        <b/>
        <vertAlign val="subscript"/>
        <sz val="11"/>
        <rFont val="Arial Cyr"/>
        <family val="0"/>
      </rPr>
      <t>2</t>
    </r>
    <r>
      <rPr>
        <b/>
        <sz val="11"/>
        <rFont val="Arial Cyr"/>
        <family val="0"/>
      </rPr>
      <t>=</t>
    </r>
  </si>
  <si>
    <r>
      <t xml:space="preserve">Критерий Нуссельта </t>
    </r>
    <r>
      <rPr>
        <b/>
        <sz val="8"/>
        <rFont val="Arial"/>
        <family val="2"/>
      </rPr>
      <t>(рассчетный)</t>
    </r>
  </si>
  <si>
    <r>
      <t>Nu</t>
    </r>
    <r>
      <rPr>
        <b/>
        <vertAlign val="subscript"/>
        <sz val="11"/>
        <rFont val="Arial Cyr"/>
        <family val="0"/>
      </rPr>
      <t>i</t>
    </r>
    <r>
      <rPr>
        <b/>
        <sz val="11"/>
        <rFont val="Arial Cyr"/>
        <family val="0"/>
      </rPr>
      <t>=</t>
    </r>
  </si>
  <si>
    <r>
      <t xml:space="preserve">К-т теплоотдачи </t>
    </r>
    <r>
      <rPr>
        <b/>
        <sz val="8"/>
        <rFont val="Arial"/>
        <family val="2"/>
      </rPr>
      <t>(к стенке и от стенки)</t>
    </r>
  </si>
  <si>
    <r>
      <t>α</t>
    </r>
    <r>
      <rPr>
        <b/>
        <vertAlign val="subscript"/>
        <sz val="11"/>
        <rFont val="Arial"/>
        <family val="2"/>
      </rPr>
      <t>i</t>
    </r>
    <r>
      <rPr>
        <b/>
        <sz val="11"/>
        <rFont val="Arial Cyr"/>
        <family val="0"/>
      </rPr>
      <t>=</t>
    </r>
  </si>
  <si>
    <r>
      <t>Вт/(м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*К)</t>
    </r>
  </si>
  <si>
    <t>Линейный к-т теплопередачи</t>
  </si>
  <si>
    <r>
      <t>K</t>
    </r>
    <r>
      <rPr>
        <b/>
        <vertAlign val="subscript"/>
        <sz val="11"/>
        <rFont val="Arial Cyr"/>
        <family val="0"/>
      </rPr>
      <t>L</t>
    </r>
    <r>
      <rPr>
        <b/>
        <sz val="11"/>
        <rFont val="Arial Cyr"/>
        <family val="0"/>
      </rPr>
      <t>=</t>
    </r>
  </si>
  <si>
    <r>
      <t>Вт/(м</t>
    </r>
    <r>
      <rPr>
        <b/>
        <sz val="11"/>
        <rFont val="Arial"/>
        <family val="2"/>
      </rPr>
      <t>*К)</t>
    </r>
  </si>
  <si>
    <t>Линейная плотность теплового потока</t>
  </si>
  <si>
    <r>
      <t>q</t>
    </r>
    <r>
      <rPr>
        <b/>
        <vertAlign val="subscript"/>
        <sz val="11"/>
        <rFont val="Arial"/>
        <family val="2"/>
      </rPr>
      <t>L</t>
    </r>
    <r>
      <rPr>
        <b/>
        <sz val="11"/>
        <rFont val="Arial Cyr"/>
        <family val="0"/>
      </rPr>
      <t>=</t>
    </r>
  </si>
  <si>
    <t>Вт/м</t>
  </si>
  <si>
    <t>Расчетная длина нагревателя</t>
  </si>
  <si>
    <r>
      <t>L</t>
    </r>
    <r>
      <rPr>
        <b/>
        <sz val="12"/>
        <color indexed="10"/>
        <rFont val="Arial Cyr"/>
        <family val="0"/>
      </rPr>
      <t>=</t>
    </r>
  </si>
  <si>
    <r>
      <t>м</t>
    </r>
  </si>
  <si>
    <r>
      <t xml:space="preserve">Диаметр патрубка </t>
    </r>
    <r>
      <rPr>
        <b/>
        <sz val="8"/>
        <color indexed="10"/>
        <rFont val="Arial"/>
        <family val="2"/>
      </rPr>
      <t>(вход / выход)</t>
    </r>
  </si>
  <si>
    <r>
      <t>d</t>
    </r>
    <r>
      <rPr>
        <b/>
        <vertAlign val="subscript"/>
        <sz val="11"/>
        <color indexed="10"/>
        <rFont val="Arial"/>
        <family val="2"/>
      </rPr>
      <t>пi</t>
    </r>
    <r>
      <rPr>
        <b/>
        <sz val="11"/>
        <color indexed="10"/>
        <rFont val="Arial Cyr"/>
        <family val="0"/>
      </rPr>
      <t>&gt;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</si>
</sst>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0.0"/>
    <numFmt numFmtId="168" formatCode="0.000E+00"/>
    <numFmt numFmtId="169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u val="single"/>
      <sz val="16"/>
      <color indexed="20"/>
      <name val="Arial Cyr"/>
      <family val="0"/>
    </font>
    <font>
      <b/>
      <u val="single"/>
      <sz val="16"/>
      <color indexed="17"/>
      <name val="Arial Cyr"/>
      <family val="0"/>
    </font>
    <font>
      <b/>
      <u val="single"/>
      <sz val="12"/>
      <name val="Arial Cyr"/>
      <family val="0"/>
    </font>
    <font>
      <b/>
      <sz val="8"/>
      <color indexed="14"/>
      <name val="Arial Black"/>
      <family val="2"/>
    </font>
    <font>
      <b/>
      <sz val="12"/>
      <color indexed="14"/>
      <name val="Arial Black"/>
      <family val="2"/>
    </font>
    <font>
      <b/>
      <u val="single"/>
      <sz val="8"/>
      <color indexed="10"/>
      <name val="Arial Black"/>
      <family val="2"/>
    </font>
    <font>
      <b/>
      <u val="single"/>
      <sz val="8"/>
      <color indexed="12"/>
      <name val="Arial Black"/>
      <family val="2"/>
    </font>
    <font>
      <b/>
      <sz val="8"/>
      <color indexed="10"/>
      <name val="Arial Black"/>
      <family val="2"/>
    </font>
    <font>
      <b/>
      <sz val="8"/>
      <color indexed="12"/>
      <name val="Arial Black"/>
      <family val="2"/>
    </font>
    <font>
      <b/>
      <i/>
      <u val="single"/>
      <sz val="12"/>
      <color indexed="14"/>
      <name val="Arial Black"/>
      <family val="2"/>
    </font>
    <font>
      <b/>
      <sz val="11"/>
      <color indexed="12"/>
      <name val="Arial Cyr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vertAlign val="subscript"/>
      <sz val="11"/>
      <color indexed="12"/>
      <name val="Arial"/>
      <family val="2"/>
    </font>
    <font>
      <sz val="8"/>
      <name val="Arial"/>
      <family val="2"/>
    </font>
    <font>
      <b/>
      <sz val="8"/>
      <color indexed="12"/>
      <name val="Arial Cyr"/>
      <family val="0"/>
    </font>
    <font>
      <b/>
      <vertAlign val="subscript"/>
      <sz val="11"/>
      <color indexed="12"/>
      <name val="Arial Cyr"/>
      <family val="0"/>
    </font>
    <font>
      <sz val="10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vertAlign val="subscript"/>
      <sz val="11"/>
      <name val="Arial Cyr"/>
      <family val="0"/>
    </font>
    <font>
      <b/>
      <vertAlign val="subscript"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Cyr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sz val="11"/>
      <name val="Symbol"/>
      <family val="1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Arial Cyr"/>
      <family val="0"/>
    </font>
    <font>
      <b/>
      <vertAlign val="subscript"/>
      <sz val="11"/>
      <color indexed="10"/>
      <name val="Arial Cyr"/>
      <family val="0"/>
    </font>
    <font>
      <b/>
      <sz val="8"/>
      <color indexed="10"/>
      <name val="Arial"/>
      <family val="2"/>
    </font>
    <font>
      <b/>
      <vertAlign val="subscript"/>
      <sz val="11"/>
      <color indexed="10"/>
      <name val="Arial"/>
      <family val="2"/>
    </font>
    <font>
      <sz val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2" fillId="0" borderId="0" xfId="54" applyProtection="1">
      <alignment/>
      <protection/>
    </xf>
    <xf numFmtId="0" fontId="2" fillId="0" borderId="0" xfId="54">
      <alignment/>
      <protection/>
    </xf>
    <xf numFmtId="0" fontId="6" fillId="0" borderId="10" xfId="53" applyFont="1" applyBorder="1" applyAlignment="1" applyProtection="1">
      <alignment horizontal="center" vertical="center" wrapText="1"/>
      <protection/>
    </xf>
    <xf numFmtId="0" fontId="7" fillId="0" borderId="11" xfId="53" applyFont="1" applyBorder="1" applyAlignment="1" applyProtection="1">
      <alignment horizontal="center" vertical="center" wrapText="1"/>
      <protection/>
    </xf>
    <xf numFmtId="0" fontId="6" fillId="0" borderId="11" xfId="53" applyFont="1" applyBorder="1" applyAlignment="1" applyProtection="1">
      <alignment horizontal="center" vertical="center" wrapText="1"/>
      <protection/>
    </xf>
    <xf numFmtId="0" fontId="6" fillId="0" borderId="12" xfId="53" applyFont="1" applyBorder="1" applyAlignment="1" applyProtection="1">
      <alignment horizontal="center" vertical="center" wrapText="1"/>
      <protection/>
    </xf>
    <xf numFmtId="0" fontId="6" fillId="0" borderId="13" xfId="53" applyFont="1" applyBorder="1" applyAlignment="1" applyProtection="1">
      <alignment horizontal="center" vertical="center" wrapText="1"/>
      <protection/>
    </xf>
    <xf numFmtId="0" fontId="6" fillId="0" borderId="14" xfId="53" applyFont="1" applyBorder="1" applyAlignment="1" applyProtection="1">
      <alignment horizontal="center" vertical="center" wrapText="1"/>
      <protection/>
    </xf>
    <xf numFmtId="0" fontId="6" fillId="0" borderId="15" xfId="53" applyFont="1" applyBorder="1" applyAlignment="1" applyProtection="1">
      <alignment horizontal="center" vertical="center" wrapText="1"/>
      <protection/>
    </xf>
    <xf numFmtId="0" fontId="6" fillId="0" borderId="16" xfId="53" applyFont="1" applyBorder="1" applyAlignment="1" applyProtection="1">
      <alignment horizontal="center" vertical="center" wrapText="1"/>
      <protection/>
    </xf>
    <xf numFmtId="0" fontId="6" fillId="0" borderId="17" xfId="53" applyFont="1" applyBorder="1" applyAlignment="1" applyProtection="1">
      <alignment horizontal="center" vertical="center" wrapText="1"/>
      <protection/>
    </xf>
    <xf numFmtId="0" fontId="6" fillId="0" borderId="18" xfId="53" applyFont="1" applyBorder="1" applyAlignment="1" applyProtection="1">
      <alignment horizontal="center" vertical="center" wrapText="1"/>
      <protection/>
    </xf>
    <xf numFmtId="0" fontId="13" fillId="0" borderId="19" xfId="54" applyFont="1" applyBorder="1" applyAlignment="1" applyProtection="1">
      <alignment horizontal="center" vertical="center"/>
      <protection/>
    </xf>
    <xf numFmtId="0" fontId="14" fillId="0" borderId="20" xfId="53" applyFont="1" applyBorder="1" applyAlignment="1" applyProtection="1">
      <alignment horizontal="left" vertical="center"/>
      <protection/>
    </xf>
    <xf numFmtId="0" fontId="14" fillId="0" borderId="20" xfId="53" applyFont="1" applyBorder="1" applyAlignment="1" applyProtection="1">
      <alignment horizontal="center" vertical="center" wrapText="1"/>
      <protection/>
    </xf>
    <xf numFmtId="0" fontId="14" fillId="0" borderId="21" xfId="54" applyFont="1" applyBorder="1" applyAlignment="1" applyProtection="1">
      <alignment horizontal="center" vertical="center"/>
      <protection/>
    </xf>
    <xf numFmtId="3" fontId="14" fillId="0" borderId="22" xfId="53" applyNumberFormat="1" applyFont="1" applyFill="1" applyBorder="1" applyAlignment="1" applyProtection="1">
      <alignment vertical="center" wrapText="1"/>
      <protection/>
    </xf>
    <xf numFmtId="3" fontId="14" fillId="0" borderId="23" xfId="53" applyNumberFormat="1" applyFont="1" applyFill="1" applyBorder="1" applyAlignment="1" applyProtection="1">
      <alignment vertical="center" wrapText="1"/>
      <protection/>
    </xf>
    <xf numFmtId="0" fontId="14" fillId="0" borderId="20" xfId="53" applyFont="1" applyBorder="1" applyAlignment="1" applyProtection="1">
      <alignment horizontal="left" vertical="center" wrapText="1"/>
      <protection/>
    </xf>
    <xf numFmtId="0" fontId="2" fillId="0" borderId="23" xfId="54" applyBorder="1">
      <alignment/>
      <protection/>
    </xf>
    <xf numFmtId="0" fontId="13" fillId="0" borderId="24" xfId="54" applyFont="1" applyBorder="1" applyAlignment="1" applyProtection="1">
      <alignment horizontal="center" vertical="center"/>
      <protection/>
    </xf>
    <xf numFmtId="0" fontId="14" fillId="0" borderId="25" xfId="53" applyFont="1" applyBorder="1" applyAlignment="1" applyProtection="1">
      <alignment horizontal="left" vertical="center"/>
      <protection/>
    </xf>
    <xf numFmtId="0" fontId="14" fillId="0" borderId="25" xfId="53" applyFont="1" applyBorder="1" applyAlignment="1" applyProtection="1">
      <alignment horizontal="center" vertical="center" wrapText="1"/>
      <protection/>
    </xf>
    <xf numFmtId="165" fontId="14" fillId="33" borderId="25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26" xfId="53" applyFont="1" applyBorder="1" applyAlignment="1" applyProtection="1">
      <alignment horizontal="center" vertical="center" wrapText="1"/>
      <protection/>
    </xf>
    <xf numFmtId="165" fontId="14" fillId="0" borderId="23" xfId="53" applyNumberFormat="1" applyFont="1" applyFill="1" applyBorder="1" applyAlignment="1" applyProtection="1">
      <alignment horizontal="center" vertical="center" wrapText="1"/>
      <protection/>
    </xf>
    <xf numFmtId="165" fontId="14" fillId="0" borderId="22" xfId="53" applyNumberFormat="1" applyFont="1" applyFill="1" applyBorder="1" applyAlignment="1" applyProtection="1">
      <alignment horizontal="center" vertical="center" wrapText="1"/>
      <protection/>
    </xf>
    <xf numFmtId="0" fontId="13" fillId="0" borderId="15" xfId="54" applyFont="1" applyBorder="1" applyAlignment="1" applyProtection="1">
      <alignment horizontal="center" vertical="center"/>
      <protection/>
    </xf>
    <xf numFmtId="0" fontId="14" fillId="0" borderId="27" xfId="53" applyFont="1" applyBorder="1" applyAlignment="1" applyProtection="1">
      <alignment horizontal="left" vertical="center"/>
      <protection/>
    </xf>
    <xf numFmtId="0" fontId="14" fillId="0" borderId="27" xfId="53" applyFont="1" applyBorder="1" applyAlignment="1" applyProtection="1">
      <alignment horizontal="center" vertical="center" wrapText="1"/>
      <protection/>
    </xf>
    <xf numFmtId="165" fontId="14" fillId="33" borderId="27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53" applyFont="1" applyBorder="1" applyAlignment="1" applyProtection="1">
      <alignment horizontal="center" vertical="center" wrapText="1"/>
      <protection/>
    </xf>
    <xf numFmtId="0" fontId="13" fillId="0" borderId="20" xfId="54" applyFont="1" applyBorder="1" applyAlignment="1" applyProtection="1">
      <alignment vertical="center" wrapText="1"/>
      <protection/>
    </xf>
    <xf numFmtId="0" fontId="14" fillId="0" borderId="21" xfId="53" applyFont="1" applyBorder="1" applyAlignment="1" applyProtection="1">
      <alignment horizontal="center" vertical="center" wrapText="1"/>
      <protection/>
    </xf>
    <xf numFmtId="0" fontId="13" fillId="0" borderId="28" xfId="54" applyFont="1" applyBorder="1" applyAlignment="1" applyProtection="1">
      <alignment horizontal="center" vertical="center"/>
      <protection/>
    </xf>
    <xf numFmtId="0" fontId="13" fillId="0" borderId="29" xfId="54" applyFont="1" applyBorder="1" applyAlignment="1" applyProtection="1">
      <alignment vertical="center"/>
      <protection/>
    </xf>
    <xf numFmtId="0" fontId="13" fillId="0" borderId="29" xfId="54" applyFont="1" applyFill="1" applyBorder="1" applyAlignment="1" applyProtection="1">
      <alignment horizontal="center" vertical="center"/>
      <protection/>
    </xf>
    <xf numFmtId="166" fontId="13" fillId="34" borderId="29" xfId="54" applyNumberFormat="1" applyFont="1" applyFill="1" applyBorder="1" applyAlignment="1" applyProtection="1">
      <alignment horizontal="center" vertical="center"/>
      <protection locked="0"/>
    </xf>
    <xf numFmtId="166" fontId="13" fillId="34" borderId="30" xfId="54" applyNumberFormat="1" applyFont="1" applyFill="1" applyBorder="1" applyAlignment="1" applyProtection="1">
      <alignment horizontal="center" vertical="center"/>
      <protection locked="0"/>
    </xf>
    <xf numFmtId="0" fontId="13" fillId="0" borderId="31" xfId="54" applyFont="1" applyFill="1" applyBorder="1" applyAlignment="1" applyProtection="1">
      <alignment horizontal="center" vertical="center"/>
      <protection/>
    </xf>
    <xf numFmtId="166" fontId="14" fillId="0" borderId="22" xfId="53" applyNumberFormat="1" applyFont="1" applyFill="1" applyBorder="1" applyAlignment="1" applyProtection="1">
      <alignment horizontal="center" vertical="center" wrapText="1"/>
      <protection/>
    </xf>
    <xf numFmtId="166" fontId="14" fillId="0" borderId="23" xfId="53" applyNumberFormat="1" applyFont="1" applyFill="1" applyBorder="1" applyAlignment="1" applyProtection="1">
      <alignment horizontal="center" vertical="center" wrapText="1"/>
      <protection/>
    </xf>
    <xf numFmtId="0" fontId="13" fillId="0" borderId="25" xfId="54" applyFont="1" applyBorder="1" applyAlignment="1" applyProtection="1">
      <alignment vertical="center"/>
      <protection/>
    </xf>
    <xf numFmtId="0" fontId="13" fillId="0" borderId="25" xfId="54" applyFont="1" applyFill="1" applyBorder="1" applyAlignment="1" applyProtection="1">
      <alignment horizontal="center" vertical="center"/>
      <protection/>
    </xf>
    <xf numFmtId="166" fontId="13" fillId="33" borderId="25" xfId="54" applyNumberFormat="1" applyFont="1" applyFill="1" applyBorder="1" applyAlignment="1" applyProtection="1">
      <alignment horizontal="center" vertical="center"/>
      <protection locked="0"/>
    </xf>
    <xf numFmtId="0" fontId="13" fillId="0" borderId="26" xfId="54" applyFont="1" applyFill="1" applyBorder="1" applyAlignment="1" applyProtection="1">
      <alignment horizontal="center" vertical="center"/>
      <protection/>
    </xf>
    <xf numFmtId="0" fontId="14" fillId="0" borderId="25" xfId="52" applyFont="1" applyBorder="1" applyAlignment="1" applyProtection="1">
      <alignment horizontal="left" vertical="center" wrapText="1"/>
      <protection/>
    </xf>
    <xf numFmtId="0" fontId="14" fillId="0" borderId="25" xfId="52" applyFont="1" applyBorder="1" applyAlignment="1" applyProtection="1">
      <alignment horizontal="center" vertical="center"/>
      <protection/>
    </xf>
    <xf numFmtId="167" fontId="13" fillId="33" borderId="32" xfId="54" applyNumberFormat="1" applyFont="1" applyFill="1" applyBorder="1" applyAlignment="1" applyProtection="1">
      <alignment horizontal="center" vertical="center"/>
      <protection locked="0"/>
    </xf>
    <xf numFmtId="167" fontId="13" fillId="33" borderId="25" xfId="54" applyNumberFormat="1" applyFont="1" applyFill="1" applyBorder="1" applyAlignment="1" applyProtection="1">
      <alignment horizontal="center" vertical="center"/>
      <protection locked="0"/>
    </xf>
    <xf numFmtId="0" fontId="14" fillId="0" borderId="26" xfId="54" applyFont="1" applyBorder="1" applyAlignment="1" applyProtection="1">
      <alignment horizontal="center" vertical="center"/>
      <protection/>
    </xf>
    <xf numFmtId="167" fontId="14" fillId="0" borderId="22" xfId="53" applyNumberFormat="1" applyFont="1" applyFill="1" applyBorder="1" applyAlignment="1" applyProtection="1">
      <alignment horizontal="center" vertical="center" wrapText="1"/>
      <protection/>
    </xf>
    <xf numFmtId="167" fontId="14" fillId="0" borderId="23" xfId="53" applyNumberFormat="1" applyFont="1" applyFill="1" applyBorder="1" applyAlignment="1" applyProtection="1">
      <alignment horizontal="center" vertical="center" wrapText="1"/>
      <protection/>
    </xf>
    <xf numFmtId="0" fontId="14" fillId="0" borderId="27" xfId="52" applyFont="1" applyBorder="1" applyAlignment="1" applyProtection="1">
      <alignment horizontal="left" vertical="center" wrapText="1"/>
      <protection/>
    </xf>
    <xf numFmtId="0" fontId="14" fillId="0" borderId="33" xfId="52" applyFont="1" applyFill="1" applyBorder="1" applyAlignment="1" applyProtection="1">
      <alignment horizontal="center" vertical="center"/>
      <protection/>
    </xf>
    <xf numFmtId="167" fontId="21" fillId="35" borderId="34" xfId="54" applyNumberFormat="1" applyFont="1" applyFill="1" applyBorder="1" applyAlignment="1" applyProtection="1">
      <alignment horizontal="center" vertical="center"/>
      <protection/>
    </xf>
    <xf numFmtId="167" fontId="13" fillId="33" borderId="35" xfId="54" applyNumberFormat="1" applyFont="1" applyFill="1" applyBorder="1" applyAlignment="1" applyProtection="1">
      <alignment horizontal="center" vertical="center"/>
      <protection locked="0"/>
    </xf>
    <xf numFmtId="0" fontId="14" fillId="0" borderId="16" xfId="54" applyFont="1" applyBorder="1" applyAlignment="1" applyProtection="1">
      <alignment horizontal="center" vertical="center"/>
      <protection/>
    </xf>
    <xf numFmtId="167" fontId="21" fillId="0" borderId="22" xfId="54" applyNumberFormat="1" applyFont="1" applyFill="1" applyBorder="1" applyAlignment="1" applyProtection="1">
      <alignment horizontal="center" vertical="center"/>
      <protection/>
    </xf>
    <xf numFmtId="0" fontId="6" fillId="0" borderId="22" xfId="53" applyFont="1" applyFill="1" applyBorder="1" applyAlignment="1" applyProtection="1">
      <alignment horizontal="center" vertical="center" wrapText="1"/>
      <protection/>
    </xf>
    <xf numFmtId="0" fontId="6" fillId="0" borderId="23" xfId="53" applyFont="1" applyFill="1" applyBorder="1" applyAlignment="1" applyProtection="1">
      <alignment horizontal="center" vertical="center" wrapText="1"/>
      <protection/>
    </xf>
    <xf numFmtId="0" fontId="22" fillId="0" borderId="28" xfId="52" applyFont="1" applyBorder="1" applyAlignment="1" applyProtection="1">
      <alignment horizontal="center" vertical="center"/>
      <protection/>
    </xf>
    <xf numFmtId="0" fontId="22" fillId="0" borderId="29" xfId="52" applyFont="1" applyFill="1" applyBorder="1" applyAlignment="1" applyProtection="1">
      <alignment vertical="center" wrapText="1"/>
      <protection/>
    </xf>
    <xf numFmtId="0" fontId="22" fillId="0" borderId="29" xfId="52" applyFont="1" applyFill="1" applyBorder="1" applyAlignment="1" applyProtection="1">
      <alignment horizontal="center" vertical="center"/>
      <protection/>
    </xf>
    <xf numFmtId="0" fontId="22" fillId="0" borderId="36" xfId="54" applyFont="1" applyBorder="1" applyAlignment="1" applyProtection="1">
      <alignment horizontal="center" vertical="center"/>
      <protection/>
    </xf>
    <xf numFmtId="0" fontId="22" fillId="0" borderId="24" xfId="52" applyFont="1" applyBorder="1" applyAlignment="1" applyProtection="1">
      <alignment horizontal="center" vertical="center"/>
      <protection/>
    </xf>
    <xf numFmtId="0" fontId="22" fillId="0" borderId="25" xfId="52" applyFont="1" applyFill="1" applyBorder="1" applyAlignment="1" applyProtection="1">
      <alignment vertical="center" wrapText="1"/>
      <protection/>
    </xf>
    <xf numFmtId="0" fontId="22" fillId="0" borderId="25" xfId="52" applyFont="1" applyFill="1" applyBorder="1" applyAlignment="1" applyProtection="1">
      <alignment horizontal="center" vertical="center"/>
      <protection/>
    </xf>
    <xf numFmtId="0" fontId="22" fillId="0" borderId="37" xfId="54" applyFont="1" applyBorder="1" applyAlignment="1" applyProtection="1">
      <alignment horizontal="center" vertical="center"/>
      <protection/>
    </xf>
    <xf numFmtId="0" fontId="22" fillId="0" borderId="13" xfId="52" applyFont="1" applyBorder="1" applyAlignment="1" applyProtection="1">
      <alignment horizontal="center" vertical="center"/>
      <protection/>
    </xf>
    <xf numFmtId="0" fontId="22" fillId="0" borderId="32" xfId="52" applyFont="1" applyFill="1" applyBorder="1" applyAlignment="1" applyProtection="1">
      <alignment vertical="center" wrapText="1"/>
      <protection/>
    </xf>
    <xf numFmtId="0" fontId="22" fillId="0" borderId="32" xfId="52" applyFont="1" applyFill="1" applyBorder="1" applyAlignment="1" applyProtection="1">
      <alignment horizontal="center" vertical="center"/>
      <protection/>
    </xf>
    <xf numFmtId="0" fontId="22" fillId="0" borderId="38" xfId="54" applyFont="1" applyBorder="1" applyAlignment="1" applyProtection="1">
      <alignment horizontal="center" vertical="center"/>
      <protection/>
    </xf>
    <xf numFmtId="0" fontId="22" fillId="0" borderId="10" xfId="52" applyFont="1" applyBorder="1" applyAlignment="1" applyProtection="1">
      <alignment horizontal="center" vertical="center"/>
      <protection/>
    </xf>
    <xf numFmtId="0" fontId="22" fillId="0" borderId="11" xfId="52" applyFont="1" applyBorder="1" applyAlignment="1" applyProtection="1">
      <alignment vertical="center" wrapText="1"/>
      <protection/>
    </xf>
    <xf numFmtId="0" fontId="22" fillId="0" borderId="11" xfId="52" applyFont="1" applyFill="1" applyBorder="1" applyAlignment="1" applyProtection="1">
      <alignment horizontal="center" vertical="center"/>
      <protection/>
    </xf>
    <xf numFmtId="167" fontId="21" fillId="35" borderId="11" xfId="54" applyNumberFormat="1" applyFont="1" applyFill="1" applyBorder="1" applyAlignment="1" applyProtection="1">
      <alignment horizontal="center" vertical="center"/>
      <protection/>
    </xf>
    <xf numFmtId="0" fontId="22" fillId="0" borderId="39" xfId="54" applyFont="1" applyBorder="1" applyAlignment="1" applyProtection="1">
      <alignment horizontal="center" vertical="center"/>
      <protection/>
    </xf>
    <xf numFmtId="167" fontId="21" fillId="0" borderId="23" xfId="54" applyNumberFormat="1" applyFont="1" applyFill="1" applyBorder="1" applyAlignment="1" applyProtection="1">
      <alignment horizontal="center" vertical="center"/>
      <protection/>
    </xf>
    <xf numFmtId="0" fontId="25" fillId="0" borderId="10" xfId="52" applyFont="1" applyBorder="1" applyAlignment="1" applyProtection="1">
      <alignment horizontal="center" vertical="center"/>
      <protection/>
    </xf>
    <xf numFmtId="0" fontId="25" fillId="0" borderId="11" xfId="53" applyFont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5" fillId="0" borderId="39" xfId="54" applyFont="1" applyBorder="1" applyAlignment="1" applyProtection="1">
      <alignment horizontal="center" vertical="center"/>
      <protection/>
    </xf>
    <xf numFmtId="164" fontId="21" fillId="0" borderId="22" xfId="54" applyNumberFormat="1" applyFont="1" applyFill="1" applyBorder="1" applyAlignment="1" applyProtection="1">
      <alignment vertical="center"/>
      <protection/>
    </xf>
    <xf numFmtId="164" fontId="21" fillId="0" borderId="23" xfId="54" applyNumberFormat="1" applyFont="1" applyFill="1" applyBorder="1" applyAlignment="1" applyProtection="1">
      <alignment vertical="center"/>
      <protection/>
    </xf>
    <xf numFmtId="0" fontId="22" fillId="0" borderId="29" xfId="52" applyFont="1" applyBorder="1" applyAlignment="1" applyProtection="1">
      <alignment vertical="center" wrapText="1"/>
      <protection/>
    </xf>
    <xf numFmtId="0" fontId="29" fillId="0" borderId="29" xfId="54" applyFont="1" applyFill="1" applyBorder="1" applyAlignment="1" applyProtection="1">
      <alignment horizontal="center" vertical="center"/>
      <protection/>
    </xf>
    <xf numFmtId="166" fontId="21" fillId="35" borderId="29" xfId="54" applyNumberFormat="1" applyFont="1" applyFill="1" applyBorder="1" applyAlignment="1" applyProtection="1">
      <alignment horizontal="center" vertical="center"/>
      <protection/>
    </xf>
    <xf numFmtId="166" fontId="21" fillId="0" borderId="22" xfId="54" applyNumberFormat="1" applyFont="1" applyFill="1" applyBorder="1" applyAlignment="1" applyProtection="1">
      <alignment horizontal="center" vertical="center"/>
      <protection/>
    </xf>
    <xf numFmtId="166" fontId="21" fillId="0" borderId="23" xfId="54" applyNumberFormat="1" applyFont="1" applyFill="1" applyBorder="1" applyAlignment="1" applyProtection="1">
      <alignment horizontal="center" vertical="center"/>
      <protection/>
    </xf>
    <xf numFmtId="0" fontId="22" fillId="0" borderId="25" xfId="52" applyFont="1" applyBorder="1" applyAlignment="1" applyProtection="1">
      <alignment vertical="center" wrapText="1"/>
      <protection/>
    </xf>
    <xf numFmtId="0" fontId="29" fillId="0" borderId="25" xfId="54" applyFont="1" applyFill="1" applyBorder="1" applyAlignment="1" applyProtection="1">
      <alignment horizontal="center" vertical="center"/>
      <protection/>
    </xf>
    <xf numFmtId="168" fontId="21" fillId="35" borderId="25" xfId="54" applyNumberFormat="1" applyFont="1" applyFill="1" applyBorder="1" applyAlignment="1" applyProtection="1">
      <alignment horizontal="center" vertical="center"/>
      <protection/>
    </xf>
    <xf numFmtId="168" fontId="21" fillId="0" borderId="22" xfId="54" applyNumberFormat="1" applyFont="1" applyFill="1" applyBorder="1" applyAlignment="1" applyProtection="1">
      <alignment horizontal="center" vertical="center"/>
      <protection/>
    </xf>
    <xf numFmtId="168" fontId="21" fillId="0" borderId="23" xfId="54" applyNumberFormat="1" applyFont="1" applyFill="1" applyBorder="1" applyAlignment="1" applyProtection="1">
      <alignment horizontal="center" vertical="center"/>
      <protection/>
    </xf>
    <xf numFmtId="0" fontId="21" fillId="0" borderId="25" xfId="52" applyFont="1" applyFill="1" applyBorder="1" applyAlignment="1" applyProtection="1">
      <alignment horizontal="center" vertical="center"/>
      <protection/>
    </xf>
    <xf numFmtId="166" fontId="21" fillId="35" borderId="25" xfId="54" applyNumberFormat="1" applyFont="1" applyFill="1" applyBorder="1" applyAlignment="1" applyProtection="1">
      <alignment horizontal="center" vertical="center"/>
      <protection/>
    </xf>
    <xf numFmtId="0" fontId="22" fillId="0" borderId="32" xfId="52" applyFont="1" applyBorder="1" applyAlignment="1" applyProtection="1">
      <alignment vertical="center" wrapText="1"/>
      <protection/>
    </xf>
    <xf numFmtId="0" fontId="21" fillId="0" borderId="32" xfId="52" applyFont="1" applyFill="1" applyBorder="1" applyAlignment="1" applyProtection="1">
      <alignment horizontal="center" vertical="center"/>
      <protection/>
    </xf>
    <xf numFmtId="166" fontId="21" fillId="35" borderId="32" xfId="54" applyNumberFormat="1" applyFont="1" applyFill="1" applyBorder="1" applyAlignment="1" applyProtection="1">
      <alignment horizontal="center" vertical="center"/>
      <protection/>
    </xf>
    <xf numFmtId="0" fontId="31" fillId="0" borderId="19" xfId="52" applyFont="1" applyBorder="1" applyAlignment="1" applyProtection="1">
      <alignment horizontal="center" vertical="center"/>
      <protection/>
    </xf>
    <xf numFmtId="0" fontId="31" fillId="0" borderId="20" xfId="52" applyFont="1" applyBorder="1" applyAlignment="1" applyProtection="1">
      <alignment vertical="center" wrapText="1"/>
      <protection/>
    </xf>
    <xf numFmtId="0" fontId="32" fillId="0" borderId="20" xfId="52" applyFont="1" applyFill="1" applyBorder="1" applyAlignment="1" applyProtection="1">
      <alignment horizontal="center" vertical="center"/>
      <protection/>
    </xf>
    <xf numFmtId="166" fontId="32" fillId="35" borderId="20" xfId="54" applyNumberFormat="1" applyFont="1" applyFill="1" applyBorder="1" applyAlignment="1" applyProtection="1">
      <alignment horizontal="center" vertical="center"/>
      <protection/>
    </xf>
    <xf numFmtId="0" fontId="31" fillId="0" borderId="21" xfId="54" applyFont="1" applyBorder="1" applyAlignment="1" applyProtection="1">
      <alignment horizontal="center" vertical="center"/>
      <protection/>
    </xf>
    <xf numFmtId="3" fontId="21" fillId="35" borderId="25" xfId="54" applyNumberFormat="1" applyFont="1" applyFill="1" applyBorder="1" applyAlignment="1" applyProtection="1">
      <alignment horizontal="center" vertical="center"/>
      <protection/>
    </xf>
    <xf numFmtId="0" fontId="22" fillId="0" borderId="26" xfId="54" applyFont="1" applyBorder="1" applyAlignment="1" applyProtection="1">
      <alignment horizontal="center" vertical="center"/>
      <protection/>
    </xf>
    <xf numFmtId="3" fontId="21" fillId="0" borderId="22" xfId="54" applyNumberFormat="1" applyFont="1" applyFill="1" applyBorder="1" applyAlignment="1" applyProtection="1">
      <alignment horizontal="center" vertical="center"/>
      <protection/>
    </xf>
    <xf numFmtId="3" fontId="21" fillId="0" borderId="23" xfId="54" applyNumberFormat="1" applyFont="1" applyFill="1" applyBorder="1" applyAlignment="1" applyProtection="1">
      <alignment horizontal="center" vertical="center"/>
      <protection/>
    </xf>
    <xf numFmtId="0" fontId="22" fillId="0" borderId="40" xfId="52" applyFont="1" applyBorder="1" applyAlignment="1" applyProtection="1">
      <alignment horizontal="center" vertical="center"/>
      <protection/>
    </xf>
    <xf numFmtId="0" fontId="22" fillId="0" borderId="41" xfId="52" applyFont="1" applyBorder="1" applyAlignment="1" applyProtection="1">
      <alignment vertical="center" wrapText="1"/>
      <protection/>
    </xf>
    <xf numFmtId="0" fontId="21" fillId="0" borderId="41" xfId="52" applyFont="1" applyFill="1" applyBorder="1" applyAlignment="1" applyProtection="1">
      <alignment horizontal="center" vertical="center"/>
      <protection/>
    </xf>
    <xf numFmtId="166" fontId="21" fillId="35" borderId="41" xfId="54" applyNumberFormat="1" applyFont="1" applyFill="1" applyBorder="1" applyAlignment="1" applyProtection="1">
      <alignment horizontal="center" vertical="center"/>
      <protection/>
    </xf>
    <xf numFmtId="0" fontId="22" fillId="0" borderId="42" xfId="54" applyFont="1" applyBorder="1" applyAlignment="1" applyProtection="1">
      <alignment horizontal="center" vertical="center"/>
      <protection/>
    </xf>
    <xf numFmtId="3" fontId="21" fillId="0" borderId="43" xfId="54" applyNumberFormat="1" applyFont="1" applyFill="1" applyBorder="1" applyAlignment="1" applyProtection="1">
      <alignment horizontal="center" vertical="center"/>
      <protection/>
    </xf>
    <xf numFmtId="3" fontId="21" fillId="0" borderId="42" xfId="54" applyNumberFormat="1" applyFont="1" applyFill="1" applyBorder="1" applyAlignment="1" applyProtection="1">
      <alignment horizontal="center" vertical="center"/>
      <protection/>
    </xf>
    <xf numFmtId="0" fontId="21" fillId="0" borderId="19" xfId="54" applyFont="1" applyBorder="1" applyAlignment="1" applyProtection="1">
      <alignment horizontal="center" vertical="center"/>
      <protection/>
    </xf>
    <xf numFmtId="0" fontId="22" fillId="0" borderId="20" xfId="52" applyFont="1" applyFill="1" applyBorder="1" applyAlignment="1" applyProtection="1">
      <alignment horizontal="left" vertical="center" wrapText="1"/>
      <protection/>
    </xf>
    <xf numFmtId="0" fontId="22" fillId="0" borderId="20" xfId="52" applyFont="1" applyFill="1" applyBorder="1" applyAlignment="1" applyProtection="1">
      <alignment horizontal="center" vertical="center"/>
      <protection/>
    </xf>
    <xf numFmtId="169" fontId="21" fillId="36" borderId="20" xfId="54" applyNumberFormat="1" applyFont="1" applyFill="1" applyBorder="1" applyAlignment="1" applyProtection="1">
      <alignment horizontal="center" vertical="center"/>
      <protection/>
    </xf>
    <xf numFmtId="169" fontId="21" fillId="37" borderId="44" xfId="54" applyNumberFormat="1" applyFont="1" applyFill="1" applyBorder="1" applyAlignment="1" applyProtection="1">
      <alignment horizontal="center" vertical="center"/>
      <protection/>
    </xf>
    <xf numFmtId="169" fontId="22" fillId="0" borderId="45" xfId="54" applyNumberFormat="1" applyFont="1" applyBorder="1" applyAlignment="1" applyProtection="1">
      <alignment horizontal="center" vertical="center"/>
      <protection/>
    </xf>
    <xf numFmtId="169" fontId="21" fillId="37" borderId="19" xfId="54" applyNumberFormat="1" applyFont="1" applyFill="1" applyBorder="1" applyAlignment="1" applyProtection="1">
      <alignment horizontal="center" vertical="center"/>
      <protection/>
    </xf>
    <xf numFmtId="169" fontId="21" fillId="37" borderId="21" xfId="54" applyNumberFormat="1" applyFont="1" applyFill="1" applyBorder="1" applyAlignment="1" applyProtection="1">
      <alignment horizontal="center" vertical="center"/>
      <protection/>
    </xf>
    <xf numFmtId="169" fontId="21" fillId="37" borderId="45" xfId="54" applyNumberFormat="1" applyFont="1" applyFill="1" applyBorder="1" applyAlignment="1" applyProtection="1">
      <alignment horizontal="center" vertical="center"/>
      <protection/>
    </xf>
    <xf numFmtId="166" fontId="21" fillId="37" borderId="25" xfId="54" applyNumberFormat="1" applyFont="1" applyFill="1" applyBorder="1" applyAlignment="1" applyProtection="1">
      <alignment horizontal="center" vertical="center"/>
      <protection/>
    </xf>
    <xf numFmtId="166" fontId="21" fillId="37" borderId="46" xfId="54" applyNumberFormat="1" applyFont="1" applyFill="1" applyBorder="1" applyAlignment="1" applyProtection="1">
      <alignment horizontal="center" vertical="center"/>
      <protection/>
    </xf>
    <xf numFmtId="166" fontId="21" fillId="37" borderId="47" xfId="54" applyNumberFormat="1" applyFont="1" applyFill="1" applyBorder="1" applyAlignment="1" applyProtection="1">
      <alignment horizontal="center" vertical="center"/>
      <protection/>
    </xf>
    <xf numFmtId="166" fontId="21" fillId="38" borderId="25" xfId="54" applyNumberFormat="1" applyFont="1" applyFill="1" applyBorder="1" applyAlignment="1" applyProtection="1">
      <alignment horizontal="center" vertical="center"/>
      <protection/>
    </xf>
    <xf numFmtId="166" fontId="21" fillId="38" borderId="24" xfId="54" applyNumberFormat="1" applyFont="1" applyFill="1" applyBorder="1" applyAlignment="1" applyProtection="1">
      <alignment horizontal="center" vertical="center"/>
      <protection/>
    </xf>
    <xf numFmtId="166" fontId="21" fillId="37" borderId="26" xfId="54" applyNumberFormat="1" applyFont="1" applyFill="1" applyBorder="1" applyAlignment="1" applyProtection="1">
      <alignment horizontal="center" vertical="center"/>
      <protection/>
    </xf>
    <xf numFmtId="0" fontId="21" fillId="0" borderId="29" xfId="52" applyFont="1" applyBorder="1" applyAlignment="1" applyProtection="1">
      <alignment horizontal="center" vertical="center"/>
      <protection/>
    </xf>
    <xf numFmtId="166" fontId="21" fillId="37" borderId="29" xfId="54" applyNumberFormat="1" applyFont="1" applyFill="1" applyBorder="1" applyAlignment="1" applyProtection="1">
      <alignment horizontal="center" vertical="center"/>
      <protection/>
    </xf>
    <xf numFmtId="166" fontId="21" fillId="37" borderId="28" xfId="54" applyNumberFormat="1" applyFont="1" applyFill="1" applyBorder="1" applyAlignment="1" applyProtection="1">
      <alignment horizontal="center" vertical="center"/>
      <protection/>
    </xf>
    <xf numFmtId="0" fontId="22" fillId="0" borderId="25" xfId="52" applyFont="1" applyBorder="1" applyAlignment="1" applyProtection="1">
      <alignment horizontal="center" vertical="center"/>
      <protection/>
    </xf>
    <xf numFmtId="3" fontId="21" fillId="37" borderId="25" xfId="54" applyNumberFormat="1" applyFont="1" applyFill="1" applyBorder="1" applyAlignment="1" applyProtection="1">
      <alignment horizontal="center" vertical="center"/>
      <protection/>
    </xf>
    <xf numFmtId="3" fontId="21" fillId="37" borderId="24" xfId="54" applyNumberFormat="1" applyFont="1" applyFill="1" applyBorder="1" applyAlignment="1" applyProtection="1">
      <alignment horizontal="center" vertical="center"/>
      <protection/>
    </xf>
    <xf numFmtId="3" fontId="21" fillId="37" borderId="26" xfId="54" applyNumberFormat="1" applyFont="1" applyFill="1" applyBorder="1" applyAlignment="1" applyProtection="1">
      <alignment horizontal="center" vertical="center"/>
      <protection/>
    </xf>
    <xf numFmtId="0" fontId="21" fillId="0" borderId="25" xfId="52" applyFont="1" applyBorder="1" applyAlignment="1" applyProtection="1">
      <alignment horizontal="center" vertical="center"/>
      <protection/>
    </xf>
    <xf numFmtId="0" fontId="22" fillId="0" borderId="41" xfId="52" applyFont="1" applyFill="1" applyBorder="1" applyAlignment="1" applyProtection="1">
      <alignment vertical="center" wrapText="1"/>
      <protection/>
    </xf>
    <xf numFmtId="0" fontId="22" fillId="0" borderId="41" xfId="52" applyFont="1" applyBorder="1" applyAlignment="1" applyProtection="1">
      <alignment horizontal="center" vertical="center"/>
      <protection/>
    </xf>
    <xf numFmtId="0" fontId="25" fillId="0" borderId="11" xfId="52" applyFont="1" applyBorder="1" applyAlignment="1" applyProtection="1">
      <alignment vertical="center" wrapText="1"/>
      <protection/>
    </xf>
    <xf numFmtId="0" fontId="25" fillId="0" borderId="11" xfId="52" applyFont="1" applyBorder="1" applyAlignment="1" applyProtection="1">
      <alignment horizontal="center" vertical="center"/>
      <protection/>
    </xf>
    <xf numFmtId="0" fontId="31" fillId="0" borderId="10" xfId="52" applyFont="1" applyBorder="1" applyAlignment="1" applyProtection="1">
      <alignment horizontal="center" vertical="center"/>
      <protection/>
    </xf>
    <xf numFmtId="0" fontId="31" fillId="0" borderId="11" xfId="52" applyFont="1" applyBorder="1" applyAlignment="1" applyProtection="1">
      <alignment vertical="center" wrapText="1"/>
      <protection/>
    </xf>
    <xf numFmtId="0" fontId="31" fillId="0" borderId="11" xfId="52" applyFont="1" applyBorder="1" applyAlignment="1" applyProtection="1">
      <alignment horizontal="center" vertical="center"/>
      <protection/>
    </xf>
    <xf numFmtId="166" fontId="32" fillId="35" borderId="11" xfId="54" applyNumberFormat="1" applyFont="1" applyFill="1" applyBorder="1" applyAlignment="1" applyProtection="1">
      <alignment horizontal="center" vertical="center"/>
      <protection/>
    </xf>
    <xf numFmtId="0" fontId="31" fillId="0" borderId="39" xfId="54" applyFont="1" applyBorder="1" applyAlignment="1" applyProtection="1">
      <alignment horizontal="center" vertical="center"/>
      <protection/>
    </xf>
    <xf numFmtId="166" fontId="32" fillId="0" borderId="0" xfId="54" applyNumberFormat="1" applyFont="1" applyFill="1" applyBorder="1" applyAlignment="1" applyProtection="1">
      <alignment horizontal="center" vertical="center"/>
      <protection/>
    </xf>
    <xf numFmtId="0" fontId="36" fillId="0" borderId="0" xfId="54" applyFont="1">
      <alignment/>
      <protection/>
    </xf>
    <xf numFmtId="164" fontId="2" fillId="0" borderId="0" xfId="54" applyNumberFormat="1">
      <alignment/>
      <protection/>
    </xf>
    <xf numFmtId="0" fontId="2" fillId="0" borderId="22" xfId="54" applyBorder="1" applyAlignment="1" applyProtection="1">
      <alignment horizontal="center" vertical="center"/>
      <protection locked="0"/>
    </xf>
    <xf numFmtId="3" fontId="17" fillId="0" borderId="22" xfId="53" applyNumberFormat="1" applyFont="1" applyFill="1" applyBorder="1" applyAlignment="1" applyProtection="1">
      <alignment horizontal="center" vertical="center" wrapText="1"/>
      <protection locked="0"/>
    </xf>
    <xf numFmtId="166" fontId="26" fillId="37" borderId="11" xfId="54" applyNumberFormat="1" applyFont="1" applyFill="1" applyBorder="1" applyAlignment="1" applyProtection="1">
      <alignment horizontal="center" vertical="center"/>
      <protection/>
    </xf>
    <xf numFmtId="166" fontId="26" fillId="0" borderId="0" xfId="54" applyNumberFormat="1" applyFont="1" applyFill="1" applyBorder="1" applyAlignment="1" applyProtection="1">
      <alignment horizontal="center" vertical="center"/>
      <protection/>
    </xf>
    <xf numFmtId="166" fontId="21" fillId="37" borderId="24" xfId="54" applyNumberFormat="1" applyFont="1" applyFill="1" applyBorder="1" applyAlignment="1" applyProtection="1">
      <alignment horizontal="center" vertical="center"/>
      <protection/>
    </xf>
    <xf numFmtId="166" fontId="21" fillId="37" borderId="26" xfId="54" applyNumberFormat="1" applyFont="1" applyFill="1" applyBorder="1" applyAlignment="1" applyProtection="1">
      <alignment horizontal="center" vertical="center"/>
      <protection/>
    </xf>
    <xf numFmtId="164" fontId="21" fillId="37" borderId="41" xfId="54" applyNumberFormat="1" applyFont="1" applyFill="1" applyBorder="1" applyAlignment="1" applyProtection="1">
      <alignment horizontal="center" vertical="center"/>
      <protection/>
    </xf>
    <xf numFmtId="166" fontId="21" fillId="37" borderId="40" xfId="54" applyNumberFormat="1" applyFont="1" applyFill="1" applyBorder="1" applyAlignment="1" applyProtection="1">
      <alignment horizontal="center" vertical="center"/>
      <protection/>
    </xf>
    <xf numFmtId="166" fontId="21" fillId="37" borderId="48" xfId="54" applyNumberFormat="1" applyFont="1" applyFill="1" applyBorder="1" applyAlignment="1" applyProtection="1">
      <alignment horizontal="center" vertical="center"/>
      <protection/>
    </xf>
    <xf numFmtId="164" fontId="21" fillId="35" borderId="25" xfId="54" applyNumberFormat="1" applyFont="1" applyFill="1" applyBorder="1" applyAlignment="1" applyProtection="1">
      <alignment horizontal="center" vertical="center"/>
      <protection/>
    </xf>
    <xf numFmtId="164" fontId="21" fillId="35" borderId="32" xfId="54" applyNumberFormat="1" applyFont="1" applyFill="1" applyBorder="1" applyAlignment="1" applyProtection="1">
      <alignment horizontal="center" vertical="center"/>
      <protection/>
    </xf>
    <xf numFmtId="164" fontId="26" fillId="35" borderId="11" xfId="54" applyNumberFormat="1" applyFont="1" applyFill="1" applyBorder="1" applyAlignment="1" applyProtection="1">
      <alignment horizontal="center" vertical="center"/>
      <protection/>
    </xf>
    <xf numFmtId="164" fontId="21" fillId="37" borderId="25" xfId="54" applyNumberFormat="1" applyFont="1" applyFill="1" applyBorder="1" applyAlignment="1" applyProtection="1">
      <alignment horizontal="center" vertical="center"/>
      <protection/>
    </xf>
    <xf numFmtId="0" fontId="12" fillId="0" borderId="49" xfId="53" applyFont="1" applyBorder="1" applyAlignment="1" applyProtection="1">
      <alignment horizontal="center" vertical="center"/>
      <protection/>
    </xf>
    <xf numFmtId="0" fontId="12" fillId="0" borderId="50" xfId="53" applyFont="1" applyBorder="1" applyAlignment="1" applyProtection="1">
      <alignment horizontal="center" vertical="center"/>
      <protection/>
    </xf>
    <xf numFmtId="0" fontId="12" fillId="0" borderId="39" xfId="53" applyFont="1" applyBorder="1" applyAlignment="1" applyProtection="1">
      <alignment horizontal="center" vertical="center"/>
      <protection/>
    </xf>
    <xf numFmtId="3" fontId="14" fillId="33" borderId="20" xfId="53" applyNumberFormat="1" applyFont="1" applyFill="1" applyBorder="1" applyAlignment="1" applyProtection="1">
      <alignment horizontal="center" vertical="center" wrapText="1"/>
      <protection locked="0"/>
    </xf>
    <xf numFmtId="164" fontId="14" fillId="39" borderId="20" xfId="53" applyNumberFormat="1" applyFont="1" applyFill="1" applyBorder="1" applyAlignment="1" applyProtection="1">
      <alignment horizontal="center" vertical="center" wrapText="1"/>
      <protection locked="0"/>
    </xf>
    <xf numFmtId="3" fontId="14" fillId="40" borderId="20" xfId="53" applyNumberFormat="1" applyFont="1" applyFill="1" applyBorder="1" applyAlignment="1" applyProtection="1">
      <alignment horizontal="center" vertical="center" wrapText="1"/>
      <protection locked="0"/>
    </xf>
    <xf numFmtId="164" fontId="21" fillId="35" borderId="29" xfId="54" applyNumberFormat="1" applyFont="1" applyFill="1" applyBorder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 vertical="center" wrapText="1"/>
      <protection/>
    </xf>
    <xf numFmtId="0" fontId="4" fillId="0" borderId="0" xfId="54" applyFont="1" applyAlignment="1" applyProtection="1">
      <alignment horizontal="center" vertical="center"/>
      <protection/>
    </xf>
    <xf numFmtId="0" fontId="5" fillId="0" borderId="51" xfId="54" applyFont="1" applyBorder="1" applyAlignment="1" applyProtection="1">
      <alignment horizontal="center" vertical="center"/>
      <protection/>
    </xf>
    <xf numFmtId="0" fontId="5" fillId="0" borderId="45" xfId="54" applyFont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raschet-privoda-telezhki" xfId="53"/>
    <cellStyle name="Обычный_veter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1</xdr:row>
      <xdr:rowOff>0</xdr:rowOff>
    </xdr:from>
    <xdr:to>
      <xdr:col>23</xdr:col>
      <xdr:colOff>285750</xdr:colOff>
      <xdr:row>14</xdr:row>
      <xdr:rowOff>47625</xdr:rowOff>
    </xdr:to>
    <xdr:pic>
      <xdr:nvPicPr>
        <xdr:cNvPr id="1" name="Picture 5" descr="teploobmennik-truba-v-tru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571500"/>
          <a:ext cx="45339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X38"/>
  <sheetViews>
    <sheetView tabSelected="1" zoomScale="90" zoomScaleNormal="90" zoomScalePageLayoutView="0" workbookViewId="0" topLeftCell="A1">
      <selection activeCell="D5" sqref="D5:E5"/>
    </sheetView>
  </sheetViews>
  <sheetFormatPr defaultColWidth="9.140625" defaultRowHeight="15"/>
  <cols>
    <col min="1" max="1" width="3.57421875" style="2" customWidth="1"/>
    <col min="2" max="2" width="41.421875" style="2" customWidth="1"/>
    <col min="3" max="3" width="8.00390625" style="2" bestFit="1" customWidth="1"/>
    <col min="4" max="4" width="11.28125" style="2" bestFit="1" customWidth="1"/>
    <col min="5" max="5" width="12.421875" style="2" customWidth="1"/>
    <col min="6" max="6" width="9.8515625" style="2" customWidth="1"/>
    <col min="7" max="7" width="10.57421875" style="2" hidden="1" customWidth="1"/>
    <col min="8" max="8" width="12.421875" style="2" hidden="1" customWidth="1"/>
    <col min="9" max="9" width="10.57421875" style="2" hidden="1" customWidth="1"/>
    <col min="10" max="10" width="12.421875" style="2" hidden="1" customWidth="1"/>
    <col min="11" max="11" width="10.57421875" style="2" hidden="1" customWidth="1"/>
    <col min="12" max="12" width="12.421875" style="2" hidden="1" customWidth="1"/>
    <col min="13" max="13" width="10.57421875" style="2" hidden="1" customWidth="1"/>
    <col min="14" max="14" width="12.421875" style="2" hidden="1" customWidth="1"/>
    <col min="15" max="15" width="10.57421875" style="2" hidden="1" customWidth="1"/>
    <col min="16" max="16" width="12.421875" style="2" hidden="1" customWidth="1"/>
    <col min="17" max="16384" width="9.140625" style="2" customWidth="1"/>
  </cols>
  <sheetData>
    <row r="1" spans="1:24" ht="45" customHeight="1" thickBot="1">
      <c r="A1" s="172" t="s">
        <v>0</v>
      </c>
      <c r="B1" s="173"/>
      <c r="C1" s="173"/>
      <c r="D1" s="173"/>
      <c r="E1" s="173"/>
      <c r="F1" s="173"/>
      <c r="G1" s="174" t="s">
        <v>1</v>
      </c>
      <c r="H1" s="175"/>
      <c r="I1" s="174" t="s">
        <v>2</v>
      </c>
      <c r="J1" s="175"/>
      <c r="K1" s="174" t="s">
        <v>3</v>
      </c>
      <c r="L1" s="175"/>
      <c r="M1" s="174" t="s">
        <v>4</v>
      </c>
      <c r="N1" s="175"/>
      <c r="O1" s="174" t="s">
        <v>5</v>
      </c>
      <c r="P1" s="175"/>
      <c r="Q1" s="1"/>
      <c r="R1" s="1"/>
      <c r="S1" s="1"/>
      <c r="T1" s="1"/>
      <c r="U1" s="1"/>
      <c r="V1" s="1"/>
      <c r="W1" s="1"/>
      <c r="X1" s="1"/>
    </row>
    <row r="2" spans="1:24" ht="51.75" thickBot="1">
      <c r="A2" s="3" t="s">
        <v>6</v>
      </c>
      <c r="B2" s="4" t="s">
        <v>7</v>
      </c>
      <c r="C2" s="5" t="s">
        <v>8</v>
      </c>
      <c r="D2" s="5" t="s">
        <v>9</v>
      </c>
      <c r="E2" s="5" t="s">
        <v>10</v>
      </c>
      <c r="F2" s="6" t="s">
        <v>11</v>
      </c>
      <c r="G2" s="7" t="s">
        <v>12</v>
      </c>
      <c r="H2" s="8" t="s">
        <v>13</v>
      </c>
      <c r="I2" s="9" t="s">
        <v>12</v>
      </c>
      <c r="J2" s="10" t="s">
        <v>13</v>
      </c>
      <c r="K2" s="7" t="s">
        <v>12</v>
      </c>
      <c r="L2" s="8" t="s">
        <v>13</v>
      </c>
      <c r="M2" s="9" t="s">
        <v>12</v>
      </c>
      <c r="N2" s="10" t="s">
        <v>13</v>
      </c>
      <c r="O2" s="7" t="s">
        <v>12</v>
      </c>
      <c r="P2" s="8" t="s">
        <v>13</v>
      </c>
      <c r="Q2" s="1"/>
      <c r="R2" s="1"/>
      <c r="S2" s="1"/>
      <c r="T2" s="1"/>
      <c r="U2" s="1"/>
      <c r="V2" s="1"/>
      <c r="W2" s="1"/>
      <c r="X2" s="1"/>
    </row>
    <row r="3" spans="1:24" ht="20.25" thickBot="1">
      <c r="A3" s="165" t="s">
        <v>14</v>
      </c>
      <c r="B3" s="166"/>
      <c r="C3" s="166"/>
      <c r="D3" s="166"/>
      <c r="E3" s="166"/>
      <c r="F3" s="167"/>
      <c r="G3" s="11"/>
      <c r="H3" s="12"/>
      <c r="I3" s="11"/>
      <c r="J3" s="12"/>
      <c r="K3" s="11"/>
      <c r="L3" s="12"/>
      <c r="M3" s="11"/>
      <c r="N3" s="12"/>
      <c r="O3" s="11"/>
      <c r="P3" s="12"/>
      <c r="Q3" s="1"/>
      <c r="R3" s="1"/>
      <c r="S3" s="1"/>
      <c r="T3" s="1"/>
      <c r="U3" s="1"/>
      <c r="V3" s="1"/>
      <c r="W3" s="1"/>
      <c r="X3" s="1"/>
    </row>
    <row r="4" spans="1:24" ht="16.5" customHeight="1" thickBot="1">
      <c r="A4" s="13">
        <v>1</v>
      </c>
      <c r="B4" s="14" t="s">
        <v>15</v>
      </c>
      <c r="C4" s="15" t="s">
        <v>16</v>
      </c>
      <c r="D4" s="168">
        <f>G5</f>
        <v>2</v>
      </c>
      <c r="E4" s="168"/>
      <c r="F4" s="16"/>
      <c r="G4" s="17"/>
      <c r="H4" s="18"/>
      <c r="I4" s="17"/>
      <c r="J4" s="18"/>
      <c r="K4" s="17"/>
      <c r="L4" s="18"/>
      <c r="M4" s="17"/>
      <c r="N4" s="18"/>
      <c r="O4" s="17"/>
      <c r="P4" s="18"/>
      <c r="Q4" s="1"/>
      <c r="R4" s="1"/>
      <c r="S4" s="1"/>
      <c r="T4" s="1"/>
      <c r="U4" s="1"/>
      <c r="V4" s="1"/>
      <c r="W4" s="1"/>
      <c r="X4" s="1"/>
    </row>
    <row r="5" spans="1:24" ht="28.5" customHeight="1">
      <c r="A5" s="13">
        <v>2</v>
      </c>
      <c r="B5" s="19" t="s">
        <v>17</v>
      </c>
      <c r="C5" s="15" t="s">
        <v>18</v>
      </c>
      <c r="D5" s="169">
        <v>45</v>
      </c>
      <c r="E5" s="169"/>
      <c r="F5" s="16" t="s">
        <v>19</v>
      </c>
      <c r="G5" s="152">
        <v>2</v>
      </c>
      <c r="H5" s="20"/>
      <c r="I5" s="17"/>
      <c r="J5" s="18"/>
      <c r="K5" s="17"/>
      <c r="L5" s="18"/>
      <c r="M5" s="17"/>
      <c r="N5" s="18"/>
      <c r="O5" s="17"/>
      <c r="P5" s="18"/>
      <c r="Q5" s="1"/>
      <c r="R5" s="1"/>
      <c r="S5" s="1"/>
      <c r="T5" s="1"/>
      <c r="U5" s="1"/>
      <c r="V5" s="1"/>
      <c r="W5" s="1"/>
      <c r="X5" s="1"/>
    </row>
    <row r="6" spans="1:24" ht="16.5" customHeight="1">
      <c r="A6" s="21">
        <v>3</v>
      </c>
      <c r="B6" s="22" t="s">
        <v>20</v>
      </c>
      <c r="C6" s="23" t="s">
        <v>21</v>
      </c>
      <c r="D6" s="24">
        <v>0.0213</v>
      </c>
      <c r="E6" s="24">
        <v>0.0335</v>
      </c>
      <c r="F6" s="25" t="s">
        <v>22</v>
      </c>
      <c r="G6" s="153" t="s">
        <v>23</v>
      </c>
      <c r="H6" s="26"/>
      <c r="I6" s="27"/>
      <c r="J6" s="26"/>
      <c r="K6" s="27"/>
      <c r="L6" s="26"/>
      <c r="M6" s="27"/>
      <c r="N6" s="26"/>
      <c r="O6" s="27"/>
      <c r="P6" s="26"/>
      <c r="Q6" s="1"/>
      <c r="R6" s="1"/>
      <c r="S6" s="1"/>
      <c r="T6" s="1"/>
      <c r="U6" s="1"/>
      <c r="V6" s="1"/>
      <c r="W6" s="1"/>
      <c r="X6" s="1"/>
    </row>
    <row r="7" spans="1:24" ht="16.5" customHeight="1" thickBot="1">
      <c r="A7" s="28">
        <v>4</v>
      </c>
      <c r="B7" s="29" t="s">
        <v>24</v>
      </c>
      <c r="C7" s="30" t="s">
        <v>25</v>
      </c>
      <c r="D7" s="31">
        <v>0.0157</v>
      </c>
      <c r="E7" s="31">
        <v>0.0271</v>
      </c>
      <c r="F7" s="32" t="s">
        <v>22</v>
      </c>
      <c r="G7" s="153" t="s">
        <v>26</v>
      </c>
      <c r="H7" s="26"/>
      <c r="I7" s="27"/>
      <c r="J7" s="26"/>
      <c r="K7" s="27"/>
      <c r="L7" s="26"/>
      <c r="M7" s="27"/>
      <c r="N7" s="26"/>
      <c r="O7" s="27"/>
      <c r="P7" s="26"/>
      <c r="Q7" s="1"/>
      <c r="R7" s="1"/>
      <c r="S7" s="1"/>
      <c r="T7" s="1"/>
      <c r="U7" s="1"/>
      <c r="V7" s="1"/>
      <c r="W7" s="1"/>
      <c r="X7" s="1"/>
    </row>
    <row r="8" spans="1:24" ht="28.5" customHeight="1">
      <c r="A8" s="13">
        <v>5</v>
      </c>
      <c r="B8" s="33" t="s">
        <v>27</v>
      </c>
      <c r="C8" s="15" t="s">
        <v>28</v>
      </c>
      <c r="D8" s="170">
        <v>4190</v>
      </c>
      <c r="E8" s="170"/>
      <c r="F8" s="34" t="s">
        <v>29</v>
      </c>
      <c r="G8" s="17"/>
      <c r="H8" s="18"/>
      <c r="I8" s="17"/>
      <c r="J8" s="18"/>
      <c r="K8" s="17"/>
      <c r="L8" s="18"/>
      <c r="M8" s="17"/>
      <c r="N8" s="18"/>
      <c r="O8" s="17"/>
      <c r="P8" s="18"/>
      <c r="Q8" s="1"/>
      <c r="R8" s="1"/>
      <c r="S8" s="1"/>
      <c r="T8" s="1"/>
      <c r="U8" s="1"/>
      <c r="V8" s="1"/>
      <c r="W8" s="1"/>
      <c r="X8" s="1"/>
    </row>
    <row r="9" spans="1:24" ht="16.5" customHeight="1">
      <c r="A9" s="35">
        <v>6</v>
      </c>
      <c r="B9" s="36" t="s">
        <v>30</v>
      </c>
      <c r="C9" s="37" t="s">
        <v>31</v>
      </c>
      <c r="D9" s="38">
        <v>0.2</v>
      </c>
      <c r="E9" s="39">
        <v>0.2</v>
      </c>
      <c r="F9" s="40" t="s">
        <v>32</v>
      </c>
      <c r="G9" s="41"/>
      <c r="H9" s="42"/>
      <c r="I9" s="41"/>
      <c r="J9" s="42"/>
      <c r="K9" s="41"/>
      <c r="L9" s="42"/>
      <c r="M9" s="41"/>
      <c r="N9" s="42"/>
      <c r="O9" s="41"/>
      <c r="P9" s="42"/>
      <c r="Q9" s="1"/>
      <c r="R9" s="1"/>
      <c r="S9" s="1"/>
      <c r="T9" s="1"/>
      <c r="U9" s="1"/>
      <c r="V9" s="1"/>
      <c r="W9" s="1"/>
      <c r="X9" s="1"/>
    </row>
    <row r="10" spans="1:24" ht="16.5" customHeight="1">
      <c r="A10" s="21">
        <v>7</v>
      </c>
      <c r="B10" s="43" t="s">
        <v>33</v>
      </c>
      <c r="C10" s="44" t="s">
        <v>34</v>
      </c>
      <c r="D10" s="45">
        <v>0.3</v>
      </c>
      <c r="E10" s="45">
        <v>0.1</v>
      </c>
      <c r="F10" s="46" t="s">
        <v>35</v>
      </c>
      <c r="G10" s="41"/>
      <c r="H10" s="42"/>
      <c r="I10" s="41"/>
      <c r="J10" s="42"/>
      <c r="K10" s="41"/>
      <c r="L10" s="42"/>
      <c r="M10" s="41"/>
      <c r="N10" s="42"/>
      <c r="O10" s="41"/>
      <c r="P10" s="42"/>
      <c r="Q10" s="1"/>
      <c r="R10" s="1"/>
      <c r="S10" s="1"/>
      <c r="T10" s="1"/>
      <c r="U10" s="1"/>
      <c r="V10" s="1"/>
      <c r="W10" s="1"/>
      <c r="X10" s="1"/>
    </row>
    <row r="11" spans="1:24" ht="16.5" customHeight="1" thickBot="1">
      <c r="A11" s="21">
        <v>8</v>
      </c>
      <c r="B11" s="47" t="s">
        <v>36</v>
      </c>
      <c r="C11" s="48" t="s">
        <v>37</v>
      </c>
      <c r="D11" s="49">
        <v>90</v>
      </c>
      <c r="E11" s="50">
        <v>10</v>
      </c>
      <c r="F11" s="51" t="s">
        <v>38</v>
      </c>
      <c r="G11" s="52"/>
      <c r="H11" s="53"/>
      <c r="I11" s="52"/>
      <c r="J11" s="53"/>
      <c r="K11" s="52"/>
      <c r="L11" s="53"/>
      <c r="M11" s="52"/>
      <c r="N11" s="53"/>
      <c r="O11" s="52"/>
      <c r="P11" s="53"/>
      <c r="Q11" s="1"/>
      <c r="R11" s="1"/>
      <c r="S11" s="1"/>
      <c r="T11" s="1"/>
      <c r="U11" s="1"/>
      <c r="V11" s="1"/>
      <c r="W11" s="1"/>
      <c r="X11" s="1"/>
    </row>
    <row r="12" spans="1:24" ht="16.5" customHeight="1" thickBot="1">
      <c r="A12" s="28">
        <v>9</v>
      </c>
      <c r="B12" s="54" t="s">
        <v>39</v>
      </c>
      <c r="C12" s="55" t="s">
        <v>40</v>
      </c>
      <c r="D12" s="56">
        <f>D11-D18/(D10*D8)</f>
        <v>78.33333333333333</v>
      </c>
      <c r="E12" s="57">
        <v>45</v>
      </c>
      <c r="F12" s="58" t="s">
        <v>38</v>
      </c>
      <c r="G12" s="59"/>
      <c r="H12" s="53"/>
      <c r="I12" s="59"/>
      <c r="J12" s="53"/>
      <c r="K12" s="59"/>
      <c r="L12" s="53"/>
      <c r="M12" s="59"/>
      <c r="N12" s="53"/>
      <c r="O12" s="59"/>
      <c r="P12" s="53"/>
      <c r="Q12" s="1"/>
      <c r="R12" s="1"/>
      <c r="S12" s="1"/>
      <c r="T12" s="1"/>
      <c r="U12" s="1"/>
      <c r="V12" s="1"/>
      <c r="W12" s="1"/>
      <c r="X12" s="1"/>
    </row>
    <row r="13" spans="1:24" ht="20.25" thickBot="1">
      <c r="A13" s="165" t="s">
        <v>41</v>
      </c>
      <c r="B13" s="166"/>
      <c r="C13" s="166"/>
      <c r="D13" s="166"/>
      <c r="E13" s="166"/>
      <c r="F13" s="167"/>
      <c r="G13" s="60"/>
      <c r="H13" s="61"/>
      <c r="I13" s="60"/>
      <c r="J13" s="61"/>
      <c r="K13" s="60"/>
      <c r="L13" s="61"/>
      <c r="M13" s="60"/>
      <c r="N13" s="61"/>
      <c r="O13" s="60"/>
      <c r="P13" s="61"/>
      <c r="Q13" s="1"/>
      <c r="R13" s="1"/>
      <c r="S13" s="1"/>
      <c r="T13" s="1"/>
      <c r="U13" s="1"/>
      <c r="V13" s="1"/>
      <c r="W13" s="1"/>
      <c r="X13" s="1"/>
    </row>
    <row r="14" spans="1:24" ht="16.5" customHeight="1">
      <c r="A14" s="62">
        <v>10</v>
      </c>
      <c r="B14" s="63" t="s">
        <v>42</v>
      </c>
      <c r="C14" s="64" t="s">
        <v>43</v>
      </c>
      <c r="D14" s="171">
        <f>IF(D4=1,D11-E11,IF(D11-E12&gt;D12-E11,D11-E12,D12-E11))</f>
        <v>68.33333333333333</v>
      </c>
      <c r="E14" s="171"/>
      <c r="F14" s="65" t="s">
        <v>38</v>
      </c>
      <c r="G14" s="60"/>
      <c r="H14" s="61"/>
      <c r="I14" s="60"/>
      <c r="J14" s="61"/>
      <c r="K14" s="60"/>
      <c r="L14" s="61"/>
      <c r="M14" s="60"/>
      <c r="N14" s="61"/>
      <c r="O14" s="60"/>
      <c r="P14" s="61"/>
      <c r="Q14" s="1"/>
      <c r="R14" s="1"/>
      <c r="S14" s="1"/>
      <c r="T14" s="1"/>
      <c r="U14" s="1"/>
      <c r="V14" s="1"/>
      <c r="W14" s="1"/>
      <c r="X14" s="1"/>
    </row>
    <row r="15" spans="1:24" ht="17.25" customHeight="1">
      <c r="A15" s="66">
        <v>11</v>
      </c>
      <c r="B15" s="67" t="s">
        <v>44</v>
      </c>
      <c r="C15" s="68" t="s">
        <v>45</v>
      </c>
      <c r="D15" s="161">
        <f>IF(D4=1,D12-E12,IF(D11-E12&lt;D12-E11,D11-E12,D12-E11))</f>
        <v>45</v>
      </c>
      <c r="E15" s="161"/>
      <c r="F15" s="69" t="s">
        <v>38</v>
      </c>
      <c r="G15" s="60"/>
      <c r="H15" s="61"/>
      <c r="I15" s="60"/>
      <c r="J15" s="61"/>
      <c r="K15" s="60"/>
      <c r="L15" s="61"/>
      <c r="M15" s="60"/>
      <c r="N15" s="61"/>
      <c r="O15" s="60"/>
      <c r="P15" s="61"/>
      <c r="Q15" s="1"/>
      <c r="R15" s="1"/>
      <c r="S15" s="1"/>
      <c r="T15" s="1"/>
      <c r="U15" s="1"/>
      <c r="V15" s="1"/>
      <c r="W15" s="1"/>
      <c r="X15" s="1"/>
    </row>
    <row r="16" spans="1:24" ht="15.75" thickBot="1">
      <c r="A16" s="70">
        <v>12</v>
      </c>
      <c r="B16" s="71" t="s">
        <v>46</v>
      </c>
      <c r="C16" s="72" t="s">
        <v>47</v>
      </c>
      <c r="D16" s="162">
        <f>(D14-D15)/LN(D14/D15)</f>
        <v>55.8567563715837</v>
      </c>
      <c r="E16" s="162"/>
      <c r="F16" s="73" t="s">
        <v>38</v>
      </c>
      <c r="G16" s="60"/>
      <c r="H16" s="61"/>
      <c r="I16" s="60"/>
      <c r="J16" s="61"/>
      <c r="K16" s="60"/>
      <c r="L16" s="61"/>
      <c r="M16" s="60"/>
      <c r="N16" s="61"/>
      <c r="O16" s="60"/>
      <c r="P16" s="61"/>
      <c r="Q16" s="1"/>
      <c r="R16" s="1"/>
      <c r="S16" s="1"/>
      <c r="T16" s="1"/>
      <c r="U16" s="1"/>
      <c r="V16" s="1"/>
      <c r="W16" s="1"/>
      <c r="X16" s="1"/>
    </row>
    <row r="17" spans="1:24" ht="16.5" customHeight="1" thickBot="1">
      <c r="A17" s="74">
        <v>13</v>
      </c>
      <c r="B17" s="75" t="s">
        <v>48</v>
      </c>
      <c r="C17" s="76" t="s">
        <v>49</v>
      </c>
      <c r="D17" s="77">
        <f>IF((D11-D12)&lt;(E12-E11),(D11+D12)/2,(E11+E12)/2+D16)</f>
        <v>84.16666666666666</v>
      </c>
      <c r="E17" s="77">
        <f>IF((D11-D12)&gt;(E12-E11),(E11+E12)/2,D17-D16)</f>
        <v>28.309910295082958</v>
      </c>
      <c r="F17" s="78" t="s">
        <v>38</v>
      </c>
      <c r="G17" s="59"/>
      <c r="H17" s="79"/>
      <c r="I17" s="59"/>
      <c r="J17" s="79"/>
      <c r="K17" s="59"/>
      <c r="L17" s="79"/>
      <c r="M17" s="59"/>
      <c r="N17" s="79"/>
      <c r="O17" s="59"/>
      <c r="P17" s="79"/>
      <c r="Q17" s="1"/>
      <c r="R17" s="1"/>
      <c r="S17" s="1"/>
      <c r="T17" s="1"/>
      <c r="U17" s="1"/>
      <c r="V17" s="1"/>
      <c r="W17" s="1"/>
      <c r="X17" s="1"/>
    </row>
    <row r="18" spans="1:24" ht="16.5" customHeight="1" thickBot="1">
      <c r="A18" s="80">
        <v>14</v>
      </c>
      <c r="B18" s="81" t="s">
        <v>50</v>
      </c>
      <c r="C18" s="82" t="s">
        <v>51</v>
      </c>
      <c r="D18" s="163">
        <f>E10*D8*(E12-E11)</f>
        <v>14665</v>
      </c>
      <c r="E18" s="163"/>
      <c r="F18" s="83" t="s">
        <v>52</v>
      </c>
      <c r="G18" s="84"/>
      <c r="H18" s="85"/>
      <c r="I18" s="84"/>
      <c r="J18" s="85"/>
      <c r="K18" s="84"/>
      <c r="L18" s="85"/>
      <c r="M18" s="84"/>
      <c r="N18" s="85"/>
      <c r="O18" s="84"/>
      <c r="P18" s="85"/>
      <c r="Q18" s="1"/>
      <c r="R18" s="1"/>
      <c r="S18" s="1"/>
      <c r="T18" s="1"/>
      <c r="U18" s="1"/>
      <c r="V18" s="1"/>
      <c r="W18" s="1"/>
      <c r="X18" s="1"/>
    </row>
    <row r="19" spans="1:24" ht="16.5" customHeight="1">
      <c r="A19" s="62">
        <v>15</v>
      </c>
      <c r="B19" s="86" t="s">
        <v>53</v>
      </c>
      <c r="C19" s="87" t="s">
        <v>54</v>
      </c>
      <c r="D19" s="88">
        <f>ПлВода(D9,D17)</f>
        <v>969.2937869407382</v>
      </c>
      <c r="E19" s="88">
        <f>ПлВода(E9,E17)</f>
        <v>996.842333538332</v>
      </c>
      <c r="F19" s="65" t="s">
        <v>55</v>
      </c>
      <c r="G19" s="89"/>
      <c r="H19" s="90"/>
      <c r="I19" s="89"/>
      <c r="J19" s="90"/>
      <c r="K19" s="89"/>
      <c r="L19" s="90"/>
      <c r="M19" s="89"/>
      <c r="N19" s="90"/>
      <c r="O19" s="89"/>
      <c r="P19" s="90"/>
      <c r="Q19" s="1"/>
      <c r="R19" s="1"/>
      <c r="S19" s="1"/>
      <c r="T19" s="1"/>
      <c r="U19" s="1"/>
      <c r="V19" s="1"/>
      <c r="W19" s="1"/>
      <c r="X19" s="1"/>
    </row>
    <row r="20" spans="1:24" ht="16.5" customHeight="1">
      <c r="A20" s="66">
        <v>16</v>
      </c>
      <c r="B20" s="91" t="s">
        <v>56</v>
      </c>
      <c r="C20" s="92" t="s">
        <v>57</v>
      </c>
      <c r="D20" s="93">
        <f>DvВода(D9,D17)/D19</f>
        <v>3.484651353333459E-07</v>
      </c>
      <c r="E20" s="93">
        <f>DvВода(E9,E17)/E19</f>
        <v>8.276492654467004E-07</v>
      </c>
      <c r="F20" s="69" t="s">
        <v>58</v>
      </c>
      <c r="G20" s="94"/>
      <c r="H20" s="95"/>
      <c r="I20" s="94"/>
      <c r="J20" s="95"/>
      <c r="K20" s="94"/>
      <c r="L20" s="95"/>
      <c r="M20" s="94"/>
      <c r="N20" s="95"/>
      <c r="O20" s="94"/>
      <c r="P20" s="95"/>
      <c r="Q20" s="1"/>
      <c r="R20" s="1"/>
      <c r="S20" s="1"/>
      <c r="T20" s="1"/>
      <c r="U20" s="1"/>
      <c r="V20" s="1"/>
      <c r="W20" s="1"/>
      <c r="X20" s="1"/>
    </row>
    <row r="21" spans="1:24" ht="16.5" customHeight="1">
      <c r="A21" s="66">
        <v>17</v>
      </c>
      <c r="B21" s="91" t="s">
        <v>59</v>
      </c>
      <c r="C21" s="96" t="s">
        <v>60</v>
      </c>
      <c r="D21" s="97">
        <f>ТеплоПрВода(D9,D17)</f>
        <v>0.6698238225979729</v>
      </c>
      <c r="E21" s="97">
        <f>ТеплоПрВода(E9,E17)</f>
        <v>0.6133492724876879</v>
      </c>
      <c r="F21" s="69" t="s">
        <v>19</v>
      </c>
      <c r="G21" s="89"/>
      <c r="H21" s="90"/>
      <c r="I21" s="89"/>
      <c r="J21" s="90"/>
      <c r="K21" s="89"/>
      <c r="L21" s="90"/>
      <c r="M21" s="89"/>
      <c r="N21" s="90"/>
      <c r="O21" s="89"/>
      <c r="P21" s="90"/>
      <c r="Q21" s="1"/>
      <c r="R21" s="1"/>
      <c r="S21" s="1"/>
      <c r="T21" s="1"/>
      <c r="U21" s="1"/>
      <c r="V21" s="1"/>
      <c r="W21" s="1"/>
      <c r="X21" s="1"/>
    </row>
    <row r="22" spans="1:24" ht="16.5" customHeight="1" thickBot="1">
      <c r="A22" s="70">
        <v>18</v>
      </c>
      <c r="B22" s="98" t="s">
        <v>61</v>
      </c>
      <c r="C22" s="99" t="s">
        <v>62</v>
      </c>
      <c r="D22" s="100">
        <f>Pr(D9,D17)</f>
        <v>2.1167348488807534</v>
      </c>
      <c r="E22" s="100">
        <f>Pr(E9,E17)</f>
        <v>5.6223437798015565</v>
      </c>
      <c r="F22" s="73" t="s">
        <v>63</v>
      </c>
      <c r="G22" s="89"/>
      <c r="H22" s="90"/>
      <c r="I22" s="89"/>
      <c r="J22" s="90"/>
      <c r="K22" s="89"/>
      <c r="L22" s="90"/>
      <c r="M22" s="89"/>
      <c r="N22" s="90"/>
      <c r="O22" s="89"/>
      <c r="P22" s="90"/>
      <c r="Q22" s="1"/>
      <c r="R22" s="1"/>
      <c r="S22" s="1"/>
      <c r="T22" s="1"/>
      <c r="U22" s="1"/>
      <c r="V22" s="1"/>
      <c r="W22" s="1"/>
      <c r="X22" s="1"/>
    </row>
    <row r="23" spans="1:24" ht="16.5" customHeight="1">
      <c r="A23" s="101">
        <v>19</v>
      </c>
      <c r="B23" s="102" t="s">
        <v>64</v>
      </c>
      <c r="C23" s="103" t="s">
        <v>65</v>
      </c>
      <c r="D23" s="104">
        <f>D10/(PI()*D7^2/4)/D19</f>
        <v>1.5987355771861598</v>
      </c>
      <c r="E23" s="104">
        <f>E10/(PI()*(E7^2-D6^2)/4)/E19</f>
        <v>0.4549988408548592</v>
      </c>
      <c r="F23" s="105" t="s">
        <v>66</v>
      </c>
      <c r="G23" s="89"/>
      <c r="H23" s="90"/>
      <c r="I23" s="89"/>
      <c r="J23" s="90"/>
      <c r="K23" s="89"/>
      <c r="L23" s="90"/>
      <c r="M23" s="89"/>
      <c r="N23" s="90"/>
      <c r="O23" s="89"/>
      <c r="P23" s="90"/>
      <c r="Q23" s="1"/>
      <c r="R23" s="1"/>
      <c r="S23" s="1"/>
      <c r="T23" s="1"/>
      <c r="U23" s="1"/>
      <c r="V23" s="1"/>
      <c r="W23" s="1"/>
      <c r="X23" s="1"/>
    </row>
    <row r="24" spans="1:24" ht="16.5" customHeight="1">
      <c r="A24" s="66">
        <v>20</v>
      </c>
      <c r="B24" s="91" t="s">
        <v>67</v>
      </c>
      <c r="C24" s="96" t="s">
        <v>68</v>
      </c>
      <c r="D24" s="106">
        <f>D23*D7/D20</f>
        <v>72030.58790318177</v>
      </c>
      <c r="E24" s="106">
        <f>E23*(E7-D6)/E20</f>
        <v>3188.540589755566</v>
      </c>
      <c r="F24" s="107" t="s">
        <v>63</v>
      </c>
      <c r="G24" s="108"/>
      <c r="H24" s="109"/>
      <c r="I24" s="108"/>
      <c r="J24" s="109"/>
      <c r="K24" s="108"/>
      <c r="L24" s="109"/>
      <c r="M24" s="108"/>
      <c r="N24" s="109"/>
      <c r="O24" s="108"/>
      <c r="P24" s="109"/>
      <c r="Q24" s="1"/>
      <c r="R24" s="1"/>
      <c r="S24" s="1"/>
      <c r="T24" s="1"/>
      <c r="U24" s="1"/>
      <c r="V24" s="1"/>
      <c r="W24" s="1"/>
      <c r="X24" s="1"/>
    </row>
    <row r="25" spans="1:24" ht="16.5" customHeight="1" thickBot="1">
      <c r="A25" s="110">
        <v>21</v>
      </c>
      <c r="B25" s="111" t="s">
        <v>69</v>
      </c>
      <c r="C25" s="112" t="s">
        <v>70</v>
      </c>
      <c r="D25" s="113" t="str">
        <f>IF(AND(D24&gt;2300,D24&lt;10000),-0.002*(D24/1000)^4+0.0633*(D24/1000)^3-0.854*(D24/1000)^2+8.7529*(D24/1000)-12.639,"-")</f>
        <v>-</v>
      </c>
      <c r="E25" s="113">
        <f>IF(AND(E24&gt;2300,E24&lt;10000),(E24-2300)/(10000-2300),"-")</f>
        <v>0.11539488178643716</v>
      </c>
      <c r="F25" s="114" t="s">
        <v>63</v>
      </c>
      <c r="G25" s="115"/>
      <c r="H25" s="116"/>
      <c r="I25" s="115"/>
      <c r="J25" s="116"/>
      <c r="K25" s="115"/>
      <c r="L25" s="116"/>
      <c r="M25" s="115"/>
      <c r="N25" s="116"/>
      <c r="O25" s="115"/>
      <c r="P25" s="116"/>
      <c r="Q25" s="1"/>
      <c r="R25" s="1"/>
      <c r="S25" s="1"/>
      <c r="T25" s="1"/>
      <c r="U25" s="1"/>
      <c r="V25" s="1"/>
      <c r="W25" s="1"/>
      <c r="X25" s="1"/>
    </row>
    <row r="26" spans="1:24" ht="16.5" customHeight="1">
      <c r="A26" s="117">
        <v>22</v>
      </c>
      <c r="B26" s="118" t="s">
        <v>71</v>
      </c>
      <c r="C26" s="119" t="s">
        <v>72</v>
      </c>
      <c r="D26" s="120">
        <f>$D$17-O33/(PI()*O31*$D$7)</f>
        <v>75.89604786483794</v>
      </c>
      <c r="E26" s="121">
        <f>$E$17+O33/(PI()*P31*$D$6)</f>
        <v>71.82292780065073</v>
      </c>
      <c r="F26" s="122" t="s">
        <v>38</v>
      </c>
      <c r="G26" s="123">
        <f>($D$17+$E$17)/2</f>
        <v>56.23828848087481</v>
      </c>
      <c r="H26" s="124">
        <f>G26</f>
        <v>56.23828848087481</v>
      </c>
      <c r="I26" s="123">
        <f>$D$17-G33/(PI()*G31*$D$7)</f>
        <v>75.75726219727315</v>
      </c>
      <c r="J26" s="125">
        <f>$E$17+G33/(PI()*H31*$D$6)</f>
        <v>71.91814706176085</v>
      </c>
      <c r="K26" s="123">
        <f>$D$17-I33/(PI()*I31*$D$7)</f>
        <v>75.89042351902441</v>
      </c>
      <c r="L26" s="125">
        <f>$E$17+I33/(PI()*J31*$D$6)</f>
        <v>71.81650010174704</v>
      </c>
      <c r="M26" s="123">
        <f>$D$17-K33/(PI()*K31*$D$7)</f>
        <v>75.8960602285976</v>
      </c>
      <c r="N26" s="125">
        <f>$E$17+K33/(PI()*L31*$D$6)</f>
        <v>71.82302582981572</v>
      </c>
      <c r="O26" s="123">
        <f>$D$17-M33/(PI()*M31*$D$7)</f>
        <v>75.89604585286554</v>
      </c>
      <c r="P26" s="125">
        <f>$E$17+M33/(PI()*N31*$D$6)</f>
        <v>71.8229245943501</v>
      </c>
      <c r="Q26" s="1"/>
      <c r="R26" s="1"/>
      <c r="S26" s="1"/>
      <c r="T26" s="1"/>
      <c r="U26" s="1"/>
      <c r="V26" s="1"/>
      <c r="W26" s="1"/>
      <c r="X26" s="1"/>
    </row>
    <row r="27" spans="1:24" ht="16.5" customHeight="1">
      <c r="A27" s="66">
        <v>23</v>
      </c>
      <c r="B27" s="67" t="s">
        <v>73</v>
      </c>
      <c r="C27" s="96" t="s">
        <v>74</v>
      </c>
      <c r="D27" s="126">
        <f>Pr($D$9,D26)</f>
        <v>2.363323030725267</v>
      </c>
      <c r="E27" s="126">
        <f>Pr($E$9,E26)</f>
        <v>2.5040023085900662</v>
      </c>
      <c r="F27" s="107" t="s">
        <v>63</v>
      </c>
      <c r="G27" s="127">
        <f>Pr($D$9,G26)</f>
        <v>3.2004890682896665</v>
      </c>
      <c r="H27" s="128">
        <f>Pr($E$9,H26)</f>
        <v>3.2004890682896665</v>
      </c>
      <c r="I27" s="127">
        <f>Pr($D$9,I26)</f>
        <v>2.3678896124601567</v>
      </c>
      <c r="J27" s="128">
        <f>Pr($E$9,J26)</f>
        <v>2.5005498519622473</v>
      </c>
      <c r="K27" s="127">
        <f>Pr($D$9,K26)</f>
        <v>2.3635077949832026</v>
      </c>
      <c r="L27" s="128">
        <f>Pr($E$9,L26)</f>
        <v>2.5042356584254413</v>
      </c>
      <c r="M27" s="127">
        <f>Pr($D$9,M26)</f>
        <v>2.363322624604385</v>
      </c>
      <c r="N27" s="128">
        <f>Pr($E$9,N26)</f>
        <v>2.503998750062246</v>
      </c>
      <c r="O27" s="127">
        <f>Pr($D$9,O26)</f>
        <v>2.363323096838656</v>
      </c>
      <c r="P27" s="128">
        <f>Pr($E$9,P26)</f>
        <v>2.5040024250128523</v>
      </c>
      <c r="Q27" s="1"/>
      <c r="R27" s="1"/>
      <c r="S27" s="1"/>
      <c r="T27" s="1"/>
      <c r="U27" s="1"/>
      <c r="V27" s="1"/>
      <c r="W27" s="1"/>
      <c r="X27" s="1"/>
    </row>
    <row r="28" spans="1:24" ht="16.5" customHeight="1">
      <c r="A28" s="66">
        <v>24</v>
      </c>
      <c r="B28" s="91" t="s">
        <v>75</v>
      </c>
      <c r="C28" s="96" t="s">
        <v>76</v>
      </c>
      <c r="D28" s="129"/>
      <c r="E28" s="126">
        <f>4*($E$22/E27)^0.25</f>
        <v>4.896442505883277</v>
      </c>
      <c r="F28" s="107" t="s">
        <v>63</v>
      </c>
      <c r="G28" s="130"/>
      <c r="H28" s="131">
        <f>4*($E$22/H27)^0.25</f>
        <v>4.60505958139391</v>
      </c>
      <c r="I28" s="130"/>
      <c r="J28" s="131">
        <f>4*($E$22/J27)^0.25</f>
        <v>4.898131735343779</v>
      </c>
      <c r="K28" s="130"/>
      <c r="L28" s="131">
        <f>4*($E$22/L27)^0.25</f>
        <v>4.896328436748387</v>
      </c>
      <c r="M28" s="130"/>
      <c r="N28" s="131">
        <f>4*($E$22/N27)^0.25</f>
        <v>4.896444245512499</v>
      </c>
      <c r="O28" s="130"/>
      <c r="P28" s="131">
        <f>4*($E$22/P27)^0.25</f>
        <v>4.896442448968647</v>
      </c>
      <c r="Q28" s="1"/>
      <c r="R28" s="1"/>
      <c r="S28" s="1"/>
      <c r="T28" s="1"/>
      <c r="U28" s="1"/>
      <c r="V28" s="1"/>
      <c r="W28" s="1"/>
      <c r="X28" s="1"/>
    </row>
    <row r="29" spans="1:24" ht="16.5" customHeight="1">
      <c r="A29" s="66">
        <v>25</v>
      </c>
      <c r="B29" s="91" t="s">
        <v>77</v>
      </c>
      <c r="C29" s="96" t="s">
        <v>78</v>
      </c>
      <c r="D29" s="129"/>
      <c r="E29" s="126">
        <f>0.017*10000^0.8*$E$22^0.4*($E$22/E27)^0.25*($E$7/$D$6)^0.18</f>
        <v>68.71676280583179</v>
      </c>
      <c r="F29" s="107" t="s">
        <v>63</v>
      </c>
      <c r="G29" s="130"/>
      <c r="H29" s="131">
        <f>0.017*10000^0.8*$E$22^0.4*($E$22/H27)^0.25*($E$7/$D$6)^0.18</f>
        <v>64.62748956638355</v>
      </c>
      <c r="I29" s="130"/>
      <c r="J29" s="131">
        <f>0.017*10000^0.8*$E$22^0.4*($E$22/J27)^0.25*($E$7/$D$6)^0.18</f>
        <v>68.7404694826737</v>
      </c>
      <c r="K29" s="130"/>
      <c r="L29" s="131">
        <f>0.017*10000^0.8*$E$22^0.4*($E$22/L27)^0.25*($E$7/$D$6)^0.18</f>
        <v>68.71516195752687</v>
      </c>
      <c r="M29" s="130"/>
      <c r="N29" s="131">
        <f>0.017*10000^0.8*$E$22^0.4*($E$22/N27)^0.25*($E$7/$D$6)^0.18</f>
        <v>68.71678721981979</v>
      </c>
      <c r="O29" s="130"/>
      <c r="P29" s="131">
        <f>0.017*10000^0.8*$E$22^0.4*($E$22/P27)^0.25*($E$7/$D$6)^0.18</f>
        <v>68.71676200709085</v>
      </c>
      <c r="Q29" s="1"/>
      <c r="R29" s="1"/>
      <c r="S29" s="1"/>
      <c r="T29" s="1"/>
      <c r="U29" s="1"/>
      <c r="V29" s="1"/>
      <c r="W29" s="1"/>
      <c r="X29" s="1"/>
    </row>
    <row r="30" spans="1:24" ht="16.5" customHeight="1">
      <c r="A30" s="62">
        <v>26</v>
      </c>
      <c r="B30" s="86" t="s">
        <v>79</v>
      </c>
      <c r="C30" s="132" t="s">
        <v>80</v>
      </c>
      <c r="D30" s="133">
        <f>IF($D$24&gt;10000,0.021*$D$24^0.8*$D$22^0.43*($D$22/D27)^0.25,IF($D$24&lt;2300,"-",$D$25*$D$22^0.43*($D$22/D27)^0.25))</f>
        <v>216.9228407579925</v>
      </c>
      <c r="E30" s="126">
        <f>IF($E$24&gt;10000,0.017*$E$24^0.8*$E$22^0.4*($E$22/E27)^0.25*($E$7/$D$6)^0.18,$E$25*E29+(1-$E$25)*E28)</f>
        <v>12.26098082246839</v>
      </c>
      <c r="F30" s="69" t="s">
        <v>63</v>
      </c>
      <c r="G30" s="134">
        <f>IF($D$24&gt;10000,0.021*$D$24^0.8*$D$22^0.43*($D$22/G27)^0.25,$D$25*$D$22^0.43*($D$22/G27)^0.25)</f>
        <v>201.08606146241027</v>
      </c>
      <c r="H30" s="126">
        <f>IF($E$24&gt;10000,0.017*$E$24^0.8*$E$22^0.4*($E$22/H27)^0.25*($E$7/$D$6)^0.18,$E$25*H29+(1-$E$25)*H28)</f>
        <v>11.53134079404649</v>
      </c>
      <c r="I30" s="134">
        <f>IF($D$24&gt;10000,0.021*$D$24^0.8*$D$22^0.43*($D$22/I27)^0.25,$D$25*$D$22^0.43*($D$22/I27)^0.25)</f>
        <v>216.81817866906232</v>
      </c>
      <c r="J30" s="126">
        <f>IF($E$24&gt;10000,0.017*$E$24^0.8*$E$22^0.4*($E$22/J27)^0.25*($E$7/$D$6)^0.18,$E$25*J29+(1-$E$25)*J28)</f>
        <v>12.265210752666711</v>
      </c>
      <c r="K30" s="134">
        <f>IF($D$24&gt;10000,0.021*$D$24^0.8*$D$22^0.43*($D$22/K27)^0.25,$D$25*$D$22^0.43*($D$22/K27)^0.25)</f>
        <v>216.91860121594613</v>
      </c>
      <c r="L30" s="126">
        <f>IF($E$24&gt;10000,0.017*$E$24^0.8*$E$22^0.4*($E$22/L27)^0.25*($E$7/$D$6)^0.18,$E$25*L29+(1-$E$25)*L28)</f>
        <v>12.260695186626933</v>
      </c>
      <c r="M30" s="134">
        <f>IF($D$24&gt;10000,0.021*$D$24^0.8*$D$22^0.43*($D$22/M27)^0.25,$D$25*$D$22^0.43*($D$22/M27)^0.25)</f>
        <v>216.92285007716976</v>
      </c>
      <c r="N30" s="126">
        <f>IF($E$24&gt;10000,0.017*$E$24^0.8*$E$22^0.4*($E$22/N27)^0.25*($E$7/$D$6)^0.18,$E$25*N29+(1-$E$25)*N28)</f>
        <v>12.260985178602564</v>
      </c>
      <c r="O30" s="134">
        <f>IF($D$24&gt;10000,0.021*$D$24^0.8*$D$22^0.43*($D$22/O27)^0.25,$D$25*$D$22^0.43*($D$22/O27)^0.25)</f>
        <v>216.92283924090154</v>
      </c>
      <c r="P30" s="126">
        <f>IF($E$24&gt;10000,0.017*$E$24^0.8*$E$22^0.4*($E$22/P27)^0.25*($E$7/$D$6)^0.18,$E$25*P29+(1-$E$25)*P28)</f>
        <v>12.260980679950801</v>
      </c>
      <c r="Q30" s="1"/>
      <c r="R30" s="1"/>
      <c r="S30" s="1"/>
      <c r="T30" s="1"/>
      <c r="U30" s="1"/>
      <c r="V30" s="1"/>
      <c r="W30" s="1"/>
      <c r="X30" s="1"/>
    </row>
    <row r="31" spans="1:24" ht="16.5" customHeight="1">
      <c r="A31" s="66">
        <v>27</v>
      </c>
      <c r="B31" s="91" t="s">
        <v>81</v>
      </c>
      <c r="C31" s="135" t="s">
        <v>82</v>
      </c>
      <c r="D31" s="136">
        <f>D30*$D$21/$D$7</f>
        <v>9254.782573587892</v>
      </c>
      <c r="E31" s="136">
        <f>E30*$E$21/($E$7-$D$6)</f>
        <v>1296.5971840424968</v>
      </c>
      <c r="F31" s="69" t="s">
        <v>83</v>
      </c>
      <c r="G31" s="137">
        <f>G30*$D$21/$D$7</f>
        <v>8579.12320763838</v>
      </c>
      <c r="H31" s="138">
        <f>H30*$E$21/($E$7-$D$6)</f>
        <v>1219.437842557933</v>
      </c>
      <c r="I31" s="137">
        <f>I30*$D$21/$D$7</f>
        <v>9250.317276741504</v>
      </c>
      <c r="J31" s="138">
        <f>J30*$E$21/($E$7-$D$6)</f>
        <v>1297.0444986303955</v>
      </c>
      <c r="K31" s="137">
        <f>K30*$D$21/$D$7</f>
        <v>9254.60169802996</v>
      </c>
      <c r="L31" s="138">
        <f>L30*$E$21/($E$7-$D$6)</f>
        <v>1296.5669780880908</v>
      </c>
      <c r="M31" s="137">
        <f>M30*$D$21/$D$7</f>
        <v>9254.78297118069</v>
      </c>
      <c r="N31" s="138">
        <f>N30*$E$21/($E$7-$D$6)</f>
        <v>1296.5976447031392</v>
      </c>
      <c r="O31" s="137">
        <f>O30*$D$21/$D$7</f>
        <v>9254.782508862818</v>
      </c>
      <c r="P31" s="138">
        <f>P30*$E$21/($E$7-$D$6)</f>
        <v>1296.5971689712796</v>
      </c>
      <c r="Q31" s="1"/>
      <c r="R31" s="1"/>
      <c r="S31" s="1"/>
      <c r="T31" s="1"/>
      <c r="U31" s="1"/>
      <c r="V31" s="1"/>
      <c r="W31" s="1"/>
      <c r="X31" s="1"/>
    </row>
    <row r="32" spans="1:24" ht="16.5" customHeight="1">
      <c r="A32" s="66">
        <v>28</v>
      </c>
      <c r="B32" s="67" t="s">
        <v>84</v>
      </c>
      <c r="C32" s="139" t="s">
        <v>85</v>
      </c>
      <c r="D32" s="164">
        <f>1/(1/(D31*$D$7)+1/(2*$D$5)*LN($D$6/$D$7)+1/(E31*$D$6))</f>
        <v>21.51434684567775</v>
      </c>
      <c r="E32" s="164"/>
      <c r="F32" s="69" t="s">
        <v>86</v>
      </c>
      <c r="G32" s="156">
        <f>1/(1/(G31*$D$7)+1/(2*$D$5)*LN($D$6/$D$7)+1/(H31*$D$6))</f>
        <v>20.27832533066969</v>
      </c>
      <c r="H32" s="157"/>
      <c r="I32" s="156">
        <f>1/(1/(I31*$D$7)+1/(2*$D$5)*LN($D$6/$D$7)+1/(J31*$D$6))</f>
        <v>21.51858996454922</v>
      </c>
      <c r="J32" s="157"/>
      <c r="K32" s="156">
        <f>1/(1/(K31*$D$7)+1/(2*$D$5)*LN($D$6/$D$7)+1/(L31*$D$6))</f>
        <v>21.513894141256646</v>
      </c>
      <c r="L32" s="157"/>
      <c r="M32" s="156">
        <f>1/(1/(M31*$D$7)+1/(2*$D$5)*LN($D$6/$D$7)+1/(N31*$D$6))</f>
        <v>21.51435293706577</v>
      </c>
      <c r="N32" s="157"/>
      <c r="O32" s="156">
        <f>1/(1/(O31*$D$7)+1/(2*$D$5)*LN($D$6/$D$7)+1/(P31*$D$6))</f>
        <v>21.514346628587052</v>
      </c>
      <c r="P32" s="157"/>
      <c r="Q32" s="1"/>
      <c r="R32" s="1"/>
      <c r="S32" s="1"/>
      <c r="T32" s="1"/>
      <c r="U32" s="1"/>
      <c r="V32" s="1"/>
      <c r="W32" s="1"/>
      <c r="X32" s="1"/>
    </row>
    <row r="33" spans="1:24" ht="16.5" customHeight="1" thickBot="1">
      <c r="A33" s="110">
        <v>29</v>
      </c>
      <c r="B33" s="140" t="s">
        <v>87</v>
      </c>
      <c r="C33" s="141" t="s">
        <v>88</v>
      </c>
      <c r="D33" s="158">
        <f>D32*$D$16*PI()</f>
        <v>3775.319845262059</v>
      </c>
      <c r="E33" s="158"/>
      <c r="F33" s="114" t="s">
        <v>89</v>
      </c>
      <c r="G33" s="159">
        <f>G32*$D$16*PI()</f>
        <v>3558.423808944867</v>
      </c>
      <c r="H33" s="160"/>
      <c r="I33" s="159">
        <f>I32*$D$16*PI()</f>
        <v>3776.0644242630474</v>
      </c>
      <c r="J33" s="160"/>
      <c r="K33" s="159">
        <f>K32*$D$16*PI()</f>
        <v>3775.2404050635123</v>
      </c>
      <c r="L33" s="160"/>
      <c r="M33" s="159">
        <f>M32*$D$16*PI()</f>
        <v>3775.320914173806</v>
      </c>
      <c r="N33" s="160"/>
      <c r="O33" s="159">
        <f>O32*$D$16*PI()</f>
        <v>3775.3198071671627</v>
      </c>
      <c r="P33" s="160"/>
      <c r="Q33" s="1"/>
      <c r="R33" s="1"/>
      <c r="S33" s="1"/>
      <c r="T33" s="1"/>
      <c r="U33" s="1"/>
      <c r="V33" s="1"/>
      <c r="W33" s="1"/>
      <c r="X33" s="1"/>
    </row>
    <row r="34" spans="1:24" ht="16.5" customHeight="1" thickBot="1">
      <c r="A34" s="80">
        <v>30</v>
      </c>
      <c r="B34" s="142" t="s">
        <v>90</v>
      </c>
      <c r="C34" s="143" t="s">
        <v>91</v>
      </c>
      <c r="D34" s="154">
        <f>$D$18/D33</f>
        <v>3.8844390941880707</v>
      </c>
      <c r="E34" s="154"/>
      <c r="F34" s="83" t="s">
        <v>92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"/>
      <c r="R34" s="1"/>
      <c r="S34" s="1"/>
      <c r="T34" s="1"/>
      <c r="U34" s="1"/>
      <c r="V34" s="1"/>
      <c r="W34" s="1"/>
      <c r="X34" s="1"/>
    </row>
    <row r="35" spans="1:24" ht="30.75" thickBot="1">
      <c r="A35" s="144">
        <v>31</v>
      </c>
      <c r="B35" s="145" t="s">
        <v>93</v>
      </c>
      <c r="C35" s="146" t="s">
        <v>94</v>
      </c>
      <c r="D35" s="147">
        <f>(D10*3600/(PI()*1.8*D19))^0.5/30</f>
        <v>0.014796252010796828</v>
      </c>
      <c r="E35" s="147">
        <f>(E10*3600/(PI()*1.8*E19))^0.5/30</f>
        <v>0.008423751955195104</v>
      </c>
      <c r="F35" s="148" t="s">
        <v>92</v>
      </c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"/>
      <c r="R35" s="1"/>
      <c r="S35" s="1"/>
      <c r="T35" s="1"/>
      <c r="U35" s="1"/>
      <c r="V35" s="1"/>
      <c r="W35" s="1"/>
      <c r="X35" s="1"/>
    </row>
    <row r="36" ht="12.75"/>
    <row r="37" ht="12.75">
      <c r="C37" s="150"/>
    </row>
    <row r="38" spans="3:16" ht="12.75">
      <c r="C38" s="150"/>
      <c r="G38" s="151"/>
      <c r="H38" s="151"/>
      <c r="I38" s="151"/>
      <c r="J38" s="151"/>
      <c r="K38" s="151"/>
      <c r="L38" s="151"/>
      <c r="M38" s="151"/>
      <c r="N38" s="151"/>
      <c r="O38" s="151"/>
      <c r="P38" s="151"/>
    </row>
    <row r="39" ht="12.75"/>
    <row r="40" ht="12.75"/>
    <row r="41" ht="12.75"/>
  </sheetData>
  <sheetProtection sheet="1" objects="1" scenarios="1"/>
  <mergeCells count="33">
    <mergeCell ref="M1:N1"/>
    <mergeCell ref="O1:P1"/>
    <mergeCell ref="D14:E14"/>
    <mergeCell ref="A1:F1"/>
    <mergeCell ref="G1:H1"/>
    <mergeCell ref="I1:J1"/>
    <mergeCell ref="K1:L1"/>
    <mergeCell ref="A3:F3"/>
    <mergeCell ref="D4:E4"/>
    <mergeCell ref="D5:E5"/>
    <mergeCell ref="D8:E8"/>
    <mergeCell ref="A13:F13"/>
    <mergeCell ref="D15:E15"/>
    <mergeCell ref="D16:E16"/>
    <mergeCell ref="D18:E18"/>
    <mergeCell ref="D32:E32"/>
    <mergeCell ref="G32:H32"/>
    <mergeCell ref="O34:P34"/>
    <mergeCell ref="K32:L32"/>
    <mergeCell ref="M32:N32"/>
    <mergeCell ref="O32:P32"/>
    <mergeCell ref="D33:E33"/>
    <mergeCell ref="G33:H33"/>
    <mergeCell ref="I33:J33"/>
    <mergeCell ref="K33:L33"/>
    <mergeCell ref="M33:N33"/>
    <mergeCell ref="O33:P33"/>
    <mergeCell ref="I32:J32"/>
    <mergeCell ref="D34:E34"/>
    <mergeCell ref="G34:H34"/>
    <mergeCell ref="I34:J34"/>
    <mergeCell ref="K34:L34"/>
    <mergeCell ref="M34:N34"/>
  </mergeCells>
  <conditionalFormatting sqref="D23:E23">
    <cfRule type="cellIs" priority="2" dxfId="3" operator="lessThan" stopIfTrue="1">
      <formula>0.25</formula>
    </cfRule>
    <cfRule type="cellIs" priority="3" dxfId="3" operator="greaterThan" stopIfTrue="1">
      <formula>2.5</formula>
    </cfRule>
  </conditionalFormatting>
  <conditionalFormatting sqref="D24:E24">
    <cfRule type="cellIs" priority="1" dxfId="4" operator="lessThan" stopIfTrue="1">
      <formula>2300</formula>
    </cfRule>
  </conditionalFormatting>
  <printOptions/>
  <pageMargins left="0.75" right="0.75" top="1" bottom="1" header="0.5" footer="0.5"/>
  <pageSetup horizontalDpi="300" verticalDpi="300" orientation="portrait" paperSize="9" scale="13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2019-10-20T10:33:02Z</dcterms:modified>
  <cp:category/>
  <cp:version/>
  <cp:contentType/>
  <cp:contentStatus/>
</cp:coreProperties>
</file>